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'doch_wyd'!$A$1:$L$86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<sst xmlns="http://schemas.openxmlformats.org/spreadsheetml/2006/main" count="99" uniqueCount="79">
  <si>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</si>
  <si>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</si>
  <si>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</si>
  <si>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</si>
  <si>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</si>
  <si>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</si>
  <si>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</si>
  <si>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</si>
  <si>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</si>
  <si>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</si>
  <si>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</si>
  <si>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</si>
  <si>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</si>
  <si>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</si>
  <si>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</si>
  <si>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</si>
  <si>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</si>
  <si>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</si>
  <si>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</si>
  <si>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</si>
  <si>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</si>
  <si>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</si>
  <si>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</si>
  <si>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</si>
  <si>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</si>
  <si>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</si>
  <si>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</si>
  <si>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</si>
  <si>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</si>
  <si>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</si>
  <si>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</si>
  <si>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</si>
  <si>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</si>
  <si>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</si>
  <si>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</si>
  <si>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</si>
  <si>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</si>
  <si>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</si>
  <si>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</si>
  <si>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</si>
  <si>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w tym: inwestycyjne § 620</t>
  </si>
  <si>
    <t>Dotacje §§ 200 i 620</t>
  </si>
  <si>
    <t>tytul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</si>
  <si>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</si>
  <si>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</si>
  <si>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</si>
  <si>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</si>
  <si>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</si>
  <si>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</si>
  <si>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</si>
  <si>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</si>
  <si>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</si>
  <si>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</si>
  <si>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</si>
  <si>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</si>
  <si>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</si>
  <si>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</si>
  <si>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</si>
  <si>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</si>
  <si>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</si>
  <si>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</si>
  <si>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</si>
  <si>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</si>
  <si>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</si>
  <si>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</si>
  <si>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</si>
  <si>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</si>
  <si>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</si>
  <si>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</si>
  <si>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</si>
  <si>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</si>
  <si>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</si>
  <si>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</si>
  <si>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</si>
  <si>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</si>
  <si>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</si>
  <si>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 xml:space="preserve">wydatki na wynagrodzenia i pochodne od wynagrodzeń 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</si>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</sst>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166" fontId="7" fillId="0" borderId="19" xfId="0" applyNumberFormat="1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" fontId="4" fillId="50" borderId="19" xfId="0" applyNumberFormat="1" applyFont="1" applyFill="1" applyBorder="1" applyAlignment="1">
      <alignment horizontal="right" vertical="center"/>
    </xf>
    <xf numFmtId="164" fontId="4" fillId="50" borderId="19" xfId="0" applyNumberFormat="1" applyFont="1" applyFill="1" applyBorder="1" applyAlignment="1">
      <alignment horizontal="right" vertical="center"/>
    </xf>
    <xf numFmtId="0" fontId="4" fillId="50" borderId="19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6"/>
  <sheetViews>
    <sheetView tabSelected="1" workbookViewId="0" topLeftCell="B1">
      <selection activeCell="B3" sqref="B3:B4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9" t="str">
        <f>CONCATENATE("Informacja z wykonania budżetów związków jednostek samorządu terytorialnego za ",$D$83," ",$C$84," rok                 ",$C$86,"")</f>
        <v>Informacja z wykonania budżetów związków jednostek samorządu terytorialnego za IV Kwartały 2021 rok                 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101" t="s">
        <v>0</v>
      </c>
      <c r="C3" s="49" t="s">
        <v>63</v>
      </c>
      <c r="D3" s="49" t="s">
        <v>64</v>
      </c>
      <c r="E3" s="49" t="s">
        <v>65</v>
      </c>
      <c r="F3" s="51" t="s">
        <v>2</v>
      </c>
      <c r="G3" s="49" t="s">
        <v>18</v>
      </c>
      <c r="H3" s="49" t="s">
        <v>3</v>
      </c>
    </row>
    <row r="4" spans="2:8" ht="12.75">
      <c r="B4" s="101"/>
      <c r="C4" s="92" t="s">
        <v>43</v>
      </c>
      <c r="D4" s="92"/>
      <c r="E4" s="92"/>
      <c r="F4" s="92" t="s">
        <v>4</v>
      </c>
      <c r="G4" s="92"/>
      <c r="H4" s="92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6" t="s">
        <v>5</v>
      </c>
      <c r="C6" s="67">
        <f>3157673381.66</f>
        <v>3157673381.66</v>
      </c>
      <c r="D6" s="67">
        <f>3146159942.57</f>
        <v>3146159942.57</v>
      </c>
      <c r="E6" s="67">
        <f>3099400665.88</f>
        <v>3099400665.88</v>
      </c>
      <c r="F6" s="68">
        <f aca="true" t="shared" si="0" ref="F6:F33">IF($D$6=0,"",100*$D6/$D$6)</f>
        <v>100</v>
      </c>
      <c r="G6" s="68">
        <f>IF(C6=0,"",100*D6/C6)</f>
        <v>99.6353822039711</v>
      </c>
      <c r="H6" s="68"/>
    </row>
    <row r="7" spans="2:8" ht="22.5">
      <c r="B7" s="52" t="s">
        <v>29</v>
      </c>
      <c r="C7" s="15">
        <f>C6-C10</f>
        <v>2955014192.24</v>
      </c>
      <c r="D7" s="15">
        <f>D6-D10</f>
        <v>2988324943.9100003</v>
      </c>
      <c r="E7" s="15">
        <f>E6-E10</f>
        <v>2949154553.77</v>
      </c>
      <c r="F7" s="19">
        <f t="shared" si="0"/>
        <v>94.98324937253288</v>
      </c>
      <c r="G7" s="19">
        <f aca="true" t="shared" si="1" ref="G7:G33">IF(C7=0,"",100*D7/C7)</f>
        <v>101.12726198599913</v>
      </c>
      <c r="H7" s="19">
        <f>IF($D$7=0,"",100*$D7/$D$7)</f>
        <v>100.00000000000001</v>
      </c>
    </row>
    <row r="8" spans="2:8" ht="12.75">
      <c r="B8" s="69" t="s">
        <v>19</v>
      </c>
      <c r="C8" s="70">
        <f>73206667.56</f>
        <v>73206667.56</v>
      </c>
      <c r="D8" s="71">
        <f>69842121.36</f>
        <v>69842121.36</v>
      </c>
      <c r="E8" s="70">
        <f>69094950.09</f>
        <v>69094950.09</v>
      </c>
      <c r="F8" s="20">
        <f t="shared" si="0"/>
        <v>2.2199164262115723</v>
      </c>
      <c r="G8" s="20">
        <f t="shared" si="1"/>
        <v>95.40404404114908</v>
      </c>
      <c r="H8" s="20">
        <f>IF($D$7=0,"",100*$D8/$D$7)</f>
        <v>2.337166227599626</v>
      </c>
    </row>
    <row r="9" spans="2:8" ht="12.75">
      <c r="B9" s="69" t="s">
        <v>20</v>
      </c>
      <c r="C9" s="70">
        <f>C7-C8</f>
        <v>2881807524.68</v>
      </c>
      <c r="D9" s="70">
        <f>D7-D8</f>
        <v>2918482822.55</v>
      </c>
      <c r="E9" s="70">
        <f>E7-E8</f>
        <v>2880059603.68</v>
      </c>
      <c r="F9" s="20">
        <f t="shared" si="0"/>
        <v>92.7633329463213</v>
      </c>
      <c r="G9" s="20">
        <f t="shared" si="1"/>
        <v>101.2726491119171</v>
      </c>
      <c r="H9" s="20">
        <f>IF($D$7=0,"",100*$D9/$D$7)</f>
        <v>97.66283377240036</v>
      </c>
    </row>
    <row r="10" spans="2:8" ht="22.5">
      <c r="B10" s="66" t="s">
        <v>66</v>
      </c>
      <c r="C10" s="67">
        <f>C11+C26+C28</f>
        <v>202659189.42</v>
      </c>
      <c r="D10" s="67">
        <f>D11+D26+D28</f>
        <v>157834998.66</v>
      </c>
      <c r="E10" s="67">
        <f>E11+E26+E28</f>
        <v>150246112.10999998</v>
      </c>
      <c r="F10" s="68">
        <f t="shared" si="0"/>
        <v>5.016750627467131</v>
      </c>
      <c r="G10" s="68">
        <f t="shared" si="1"/>
        <v>77.8819845829422</v>
      </c>
      <c r="H10" s="72"/>
    </row>
    <row r="11" spans="2:8" ht="22.5">
      <c r="B11" s="66" t="s">
        <v>30</v>
      </c>
      <c r="C11" s="67">
        <f>C12+C14+C16+C18+C20+C22+C24</f>
        <v>18155756.59</v>
      </c>
      <c r="D11" s="67">
        <f>D12+D14+D16+D18+D20+D22+D24</f>
        <v>19045228.089999996</v>
      </c>
      <c r="E11" s="67">
        <f>E12+E14+E16+E18+E20+E22+E24</f>
        <v>19868454.299999997</v>
      </c>
      <c r="F11" s="68">
        <f t="shared" si="0"/>
        <v>0.6053483750874579</v>
      </c>
      <c r="G11" s="68">
        <f t="shared" si="1"/>
        <v>104.8991155812802</v>
      </c>
      <c r="H11" s="17"/>
    </row>
    <row r="12" spans="2:8" ht="22.5">
      <c r="B12" s="69" t="s">
        <v>9</v>
      </c>
      <c r="C12" s="70">
        <f>0</f>
        <v>0</v>
      </c>
      <c r="D12" s="70">
        <f>0</f>
        <v>0</v>
      </c>
      <c r="E12" s="70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3" t="s">
        <v>6</v>
      </c>
      <c r="C13" s="70">
        <f>0</f>
        <v>0</v>
      </c>
      <c r="D13" s="70">
        <f>0</f>
        <v>0</v>
      </c>
      <c r="E13" s="70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9" t="s">
        <v>7</v>
      </c>
      <c r="C14" s="70">
        <f>193030</f>
        <v>193030</v>
      </c>
      <c r="D14" s="70">
        <f>170380.32</f>
        <v>170380.32</v>
      </c>
      <c r="E14" s="70">
        <f>170380.32</f>
        <v>170380.32</v>
      </c>
      <c r="F14" s="20">
        <f t="shared" si="0"/>
        <v>0.005415500899830974</v>
      </c>
      <c r="G14" s="20">
        <f t="shared" si="1"/>
        <v>88.26623840853753</v>
      </c>
      <c r="H14" s="17"/>
    </row>
    <row r="15" spans="2:8" ht="12.75">
      <c r="B15" s="73" t="s">
        <v>6</v>
      </c>
      <c r="C15" s="70">
        <f>0</f>
        <v>0</v>
      </c>
      <c r="D15" s="70">
        <f>0</f>
        <v>0</v>
      </c>
      <c r="E15" s="70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9" t="s">
        <v>10</v>
      </c>
      <c r="C16" s="70">
        <f>0</f>
        <v>0</v>
      </c>
      <c r="D16" s="70">
        <f>0</f>
        <v>0</v>
      </c>
      <c r="E16" s="70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3" t="s">
        <v>6</v>
      </c>
      <c r="C17" s="70">
        <f>0</f>
        <v>0</v>
      </c>
      <c r="D17" s="70">
        <f>0</f>
        <v>0</v>
      </c>
      <c r="E17" s="70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4" t="s">
        <v>11</v>
      </c>
      <c r="C18" s="70">
        <f>14944075</f>
        <v>14944075</v>
      </c>
      <c r="D18" s="70">
        <f>16155846.7</f>
        <v>16155846.7</v>
      </c>
      <c r="E18" s="70">
        <f>16999072.91</f>
        <v>16999072.91</v>
      </c>
      <c r="F18" s="20">
        <f t="shared" si="0"/>
        <v>0.5135100247574442</v>
      </c>
      <c r="G18" s="20">
        <f t="shared" si="1"/>
        <v>108.10870997368522</v>
      </c>
      <c r="H18" s="17"/>
    </row>
    <row r="19" spans="2:8" ht="13.5" customHeight="1">
      <c r="B19" s="73" t="s">
        <v>6</v>
      </c>
      <c r="C19" s="70">
        <f>116960</f>
        <v>116960</v>
      </c>
      <c r="D19" s="70">
        <f>116960.09</f>
        <v>116960.09</v>
      </c>
      <c r="E19" s="70">
        <f>116960.09</f>
        <v>116960.09</v>
      </c>
      <c r="F19" s="20">
        <f t="shared" si="0"/>
        <v>0.003717550669228181</v>
      </c>
      <c r="G19" s="20">
        <f t="shared" si="1"/>
        <v>100.00007694938441</v>
      </c>
      <c r="H19" s="17"/>
    </row>
    <row r="20" spans="2:8" ht="34.5" customHeight="1">
      <c r="B20" s="74" t="s">
        <v>44</v>
      </c>
      <c r="C20" s="70">
        <f>2917163.59</f>
        <v>2917163.59</v>
      </c>
      <c r="D20" s="70">
        <f>2617513.49</f>
        <v>2617513.49</v>
      </c>
      <c r="E20" s="70">
        <f>2597513.49</f>
        <v>2597513.49</v>
      </c>
      <c r="F20" s="20">
        <f t="shared" si="0"/>
        <v>0.08319708907938847</v>
      </c>
      <c r="G20" s="20">
        <f t="shared" si="1"/>
        <v>89.72803235899433</v>
      </c>
      <c r="H20" s="17"/>
    </row>
    <row r="21" spans="2:8" ht="12.75">
      <c r="B21" s="73" t="s">
        <v>6</v>
      </c>
      <c r="C21" s="70">
        <f>2546390.59</f>
        <v>2546390.59</v>
      </c>
      <c r="D21" s="70">
        <f>2303801</f>
        <v>2303801</v>
      </c>
      <c r="E21" s="70">
        <f>2303801</f>
        <v>2303801</v>
      </c>
      <c r="F21" s="20">
        <f t="shared" si="0"/>
        <v>0.07322580676296121</v>
      </c>
      <c r="G21" s="20">
        <f t="shared" si="1"/>
        <v>90.473197986488</v>
      </c>
      <c r="H21" s="17"/>
    </row>
    <row r="22" spans="2:8" ht="12.75">
      <c r="B22" s="69" t="s">
        <v>8</v>
      </c>
      <c r="C22" s="70">
        <f>76710</f>
        <v>76710</v>
      </c>
      <c r="D22" s="70">
        <f>76709.58</f>
        <v>76709.58</v>
      </c>
      <c r="E22" s="70">
        <f>76709.58</f>
        <v>76709.58</v>
      </c>
      <c r="F22" s="20">
        <f t="shared" si="0"/>
        <v>0.0024381970847082344</v>
      </c>
      <c r="G22" s="20">
        <f t="shared" si="1"/>
        <v>99.99945248337896</v>
      </c>
      <c r="H22" s="17"/>
    </row>
    <row r="23" spans="2:8" ht="13.5" customHeight="1">
      <c r="B23" s="73" t="s">
        <v>6</v>
      </c>
      <c r="C23" s="70">
        <f>0</f>
        <v>0</v>
      </c>
      <c r="D23" s="70">
        <f>0</f>
        <v>0</v>
      </c>
      <c r="E23" s="70">
        <f>0</f>
        <v>0</v>
      </c>
      <c r="F23" s="20">
        <f t="shared" si="0"/>
        <v>0</v>
      </c>
      <c r="G23" s="20">
        <f t="shared" si="1"/>
      </c>
      <c r="H23" s="17"/>
    </row>
    <row r="24" spans="2:8" ht="45">
      <c r="B24" s="90" t="s">
        <v>78</v>
      </c>
      <c r="C24" s="88">
        <f>24778</f>
        <v>24778</v>
      </c>
      <c r="D24" s="88">
        <f>24778</f>
        <v>24778</v>
      </c>
      <c r="E24" s="88">
        <f>24778</f>
        <v>24778</v>
      </c>
      <c r="F24" s="89">
        <f t="shared" si="0"/>
        <v>0.0007875632660861998</v>
      </c>
      <c r="G24" s="89">
        <f t="shared" si="1"/>
        <v>100</v>
      </c>
      <c r="H24" s="17"/>
    </row>
    <row r="25" spans="2:8" ht="13.5" customHeight="1">
      <c r="B25" s="73" t="s">
        <v>6</v>
      </c>
      <c r="C25" s="70">
        <f>0</f>
        <v>0</v>
      </c>
      <c r="D25" s="70">
        <f>0</f>
        <v>0</v>
      </c>
      <c r="E25" s="70">
        <f>0</f>
        <v>0</v>
      </c>
      <c r="F25" s="20">
        <f t="shared" si="0"/>
        <v>0</v>
      </c>
      <c r="G25" s="20">
        <f t="shared" si="1"/>
      </c>
      <c r="H25" s="17"/>
    </row>
    <row r="26" spans="1:13" s="5" customFormat="1" ht="13.5" customHeight="1">
      <c r="A26" s="2"/>
      <c r="B26" s="66" t="s">
        <v>41</v>
      </c>
      <c r="C26" s="15">
        <f>7809335.67</f>
        <v>7809335.67</v>
      </c>
      <c r="D26" s="15">
        <f>3640555.95</f>
        <v>3640555.95</v>
      </c>
      <c r="E26" s="15">
        <f>3640555.95</f>
        <v>3640555.95</v>
      </c>
      <c r="F26" s="19">
        <f t="shared" si="0"/>
        <v>0.11571426807456404</v>
      </c>
      <c r="G26" s="19">
        <f t="shared" si="1"/>
        <v>46.61799804540865</v>
      </c>
      <c r="H26" s="53"/>
      <c r="I26" s="12"/>
      <c r="J26" s="12"/>
      <c r="K26" s="9"/>
      <c r="L26" s="9"/>
      <c r="M26" s="3"/>
    </row>
    <row r="27" spans="1:13" s="5" customFormat="1" ht="12.75">
      <c r="A27" s="2"/>
      <c r="B27" s="18" t="s">
        <v>40</v>
      </c>
      <c r="C27" s="14">
        <f>7764335.67</f>
        <v>7764335.67</v>
      </c>
      <c r="D27" s="14">
        <f>3640555.95</f>
        <v>3640555.95</v>
      </c>
      <c r="E27" s="14">
        <f>3640555.95</f>
        <v>3640555.95</v>
      </c>
      <c r="F27" s="20">
        <f t="shared" si="0"/>
        <v>0.11571426807456404</v>
      </c>
      <c r="G27" s="20">
        <f t="shared" si="1"/>
        <v>46.88818341621235</v>
      </c>
      <c r="H27" s="53"/>
      <c r="I27" s="12"/>
      <c r="J27" s="12"/>
      <c r="K27" s="9"/>
      <c r="L27" s="9"/>
      <c r="M27" s="3"/>
    </row>
    <row r="28" spans="1:13" s="5" customFormat="1" ht="13.5" customHeight="1">
      <c r="A28" s="2"/>
      <c r="B28" s="66" t="s">
        <v>52</v>
      </c>
      <c r="C28" s="75">
        <f>176694097.16</f>
        <v>176694097.16</v>
      </c>
      <c r="D28" s="75">
        <f>135149214.62</f>
        <v>135149214.62</v>
      </c>
      <c r="E28" s="75">
        <f>126737101.86</f>
        <v>126737101.86</v>
      </c>
      <c r="F28" s="76">
        <f t="shared" si="0"/>
        <v>4.295687984305109</v>
      </c>
      <c r="G28" s="76">
        <f t="shared" si="1"/>
        <v>76.48767943708935</v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18" t="s">
        <v>53</v>
      </c>
      <c r="C29" s="14">
        <f>153845333.19</f>
        <v>153845333.19</v>
      </c>
      <c r="D29" s="14">
        <f>123608332.44</f>
        <v>123608332.44</v>
      </c>
      <c r="E29" s="14">
        <f>116073438.77</f>
        <v>116073438.77</v>
      </c>
      <c r="F29" s="20">
        <f t="shared" si="0"/>
        <v>3.928863589148243</v>
      </c>
      <c r="G29" s="20">
        <f t="shared" si="1"/>
        <v>80.34584467202713</v>
      </c>
      <c r="H29" s="53"/>
      <c r="I29" s="12"/>
      <c r="J29" s="12"/>
      <c r="K29" s="9"/>
      <c r="L29" s="9"/>
      <c r="M29" s="3"/>
    </row>
    <row r="30" spans="1:13" s="5" customFormat="1" ht="8.25" customHeight="1">
      <c r="A30" s="2"/>
      <c r="B30" s="43"/>
      <c r="C30" s="45"/>
      <c r="D30" s="45"/>
      <c r="E30" s="45"/>
      <c r="F30" s="45">
        <f t="shared" si="0"/>
        <v>0</v>
      </c>
      <c r="G30" s="45">
        <f t="shared" si="1"/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66" t="s">
        <v>5</v>
      </c>
      <c r="C31" s="75">
        <f>+C6</f>
        <v>3157673381.66</v>
      </c>
      <c r="D31" s="75">
        <f>+D6</f>
        <v>3146159942.57</v>
      </c>
      <c r="E31" s="75">
        <f>+E6</f>
        <v>3099400665.88</v>
      </c>
      <c r="F31" s="76">
        <f t="shared" si="0"/>
        <v>100</v>
      </c>
      <c r="G31" s="76">
        <f t="shared" si="1"/>
        <v>99.6353822039711</v>
      </c>
      <c r="H31" s="53"/>
      <c r="I31" s="12"/>
      <c r="J31" s="12"/>
      <c r="K31" s="9"/>
      <c r="L31" s="9"/>
      <c r="M31" s="3"/>
    </row>
    <row r="32" spans="1:13" s="5" customFormat="1" ht="13.5" customHeight="1">
      <c r="A32" s="2"/>
      <c r="B32" s="46" t="s">
        <v>54</v>
      </c>
      <c r="C32" s="14">
        <f>243125513.31</f>
        <v>243125513.31</v>
      </c>
      <c r="D32" s="14">
        <f>191197236.09</f>
        <v>191197236.09</v>
      </c>
      <c r="E32" s="14">
        <f>182391697.31</f>
        <v>182391697.31</v>
      </c>
      <c r="F32" s="20">
        <f t="shared" si="0"/>
        <v>6.077161987315144</v>
      </c>
      <c r="G32" s="20">
        <f t="shared" si="1"/>
        <v>78.64137065952916</v>
      </c>
      <c r="H32" s="53"/>
      <c r="I32" s="12"/>
      <c r="J32" s="12"/>
      <c r="K32" s="9"/>
      <c r="L32" s="9"/>
      <c r="M32" s="3"/>
    </row>
    <row r="33" spans="1:13" s="5" customFormat="1" ht="13.5" customHeight="1">
      <c r="A33" s="2"/>
      <c r="B33" s="46" t="s">
        <v>55</v>
      </c>
      <c r="C33" s="14">
        <f>C31-C32</f>
        <v>2914547868.35</v>
      </c>
      <c r="D33" s="14">
        <f>D31-D32</f>
        <v>2954962706.48</v>
      </c>
      <c r="E33" s="14">
        <f>E31-E32</f>
        <v>2917008968.57</v>
      </c>
      <c r="F33" s="20">
        <f t="shared" si="0"/>
        <v>93.92283801268485</v>
      </c>
      <c r="G33" s="20">
        <f t="shared" si="1"/>
        <v>101.38665892466128</v>
      </c>
      <c r="H33" s="53"/>
      <c r="I33" s="12"/>
      <c r="J33" s="12"/>
      <c r="K33" s="9"/>
      <c r="L33" s="9"/>
      <c r="M33" s="3"/>
    </row>
    <row r="34" spans="1:13" s="5" customFormat="1" ht="6.75" customHeight="1">
      <c r="A34" s="2"/>
      <c r="B34" s="43"/>
      <c r="C34" s="7"/>
      <c r="D34" s="8"/>
      <c r="E34" s="8"/>
      <c r="F34" s="12"/>
      <c r="G34" s="12"/>
      <c r="H34" s="12"/>
      <c r="I34" s="12"/>
      <c r="J34" s="12"/>
      <c r="K34" s="9"/>
      <c r="L34" s="9"/>
      <c r="M34" s="3"/>
    </row>
    <row r="35" spans="2:13" ht="22.5" customHeight="1">
      <c r="B35" s="109" t="str">
        <f>CONCATENATE("Informacja z wykonania budżetów związków jednostek samorządu terytorialnego za ",$D$83," ",$C$84," rok                 ",$C$86,"")</f>
        <v>Informacja z wykonania budżetów związków jednostek samorządu terytorialnego za IV Kwartały 2021 rok                 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65"/>
    </row>
    <row r="36" spans="2:13" s="5" customFormat="1" ht="6" customHeight="1" hidden="1">
      <c r="B36" s="6"/>
      <c r="C36" s="7"/>
      <c r="D36" s="8"/>
      <c r="E36" s="8"/>
      <c r="F36" s="4"/>
      <c r="G36" s="4"/>
      <c r="H36" s="4"/>
      <c r="I36" s="4"/>
      <c r="J36" s="4"/>
      <c r="K36" s="9"/>
      <c r="L36" s="9"/>
      <c r="M36" s="3"/>
    </row>
    <row r="37" spans="2:27" ht="29.25" customHeight="1">
      <c r="B37" s="101" t="s">
        <v>0</v>
      </c>
      <c r="C37" s="97" t="s">
        <v>56</v>
      </c>
      <c r="D37" s="97" t="s">
        <v>57</v>
      </c>
      <c r="E37" s="97" t="s">
        <v>58</v>
      </c>
      <c r="F37" s="97" t="s">
        <v>12</v>
      </c>
      <c r="G37" s="97"/>
      <c r="H37" s="97"/>
      <c r="I37" s="97" t="s">
        <v>59</v>
      </c>
      <c r="J37" s="97"/>
      <c r="K37" s="97" t="s">
        <v>2</v>
      </c>
      <c r="L37" s="117" t="s">
        <v>25</v>
      </c>
      <c r="M37" s="4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8" customHeight="1">
      <c r="B38" s="101"/>
      <c r="C38" s="97"/>
      <c r="D38" s="91"/>
      <c r="E38" s="97"/>
      <c r="F38" s="102" t="s">
        <v>60</v>
      </c>
      <c r="G38" s="103" t="s">
        <v>24</v>
      </c>
      <c r="H38" s="91"/>
      <c r="I38" s="97"/>
      <c r="J38" s="97"/>
      <c r="K38" s="97"/>
      <c r="L38" s="117"/>
      <c r="M38" s="57"/>
      <c r="N38" s="1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36" customHeight="1">
      <c r="B39" s="101"/>
      <c r="C39" s="97"/>
      <c r="D39" s="91"/>
      <c r="E39" s="97"/>
      <c r="F39" s="91"/>
      <c r="G39" s="48" t="s">
        <v>61</v>
      </c>
      <c r="H39" s="48" t="s">
        <v>62</v>
      </c>
      <c r="I39" s="97"/>
      <c r="J39" s="97"/>
      <c r="K39" s="97"/>
      <c r="L39" s="117"/>
      <c r="M39" s="5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3.5" customHeight="1">
      <c r="B40" s="101"/>
      <c r="C40" s="92" t="s">
        <v>43</v>
      </c>
      <c r="D40" s="92"/>
      <c r="E40" s="92"/>
      <c r="F40" s="92"/>
      <c r="G40" s="92"/>
      <c r="H40" s="92"/>
      <c r="I40" s="92"/>
      <c r="J40" s="92"/>
      <c r="K40" s="92" t="s">
        <v>4</v>
      </c>
      <c r="L40" s="92"/>
      <c r="M40" s="4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11.25" customHeight="1">
      <c r="B41" s="51">
        <v>1</v>
      </c>
      <c r="C41" s="50">
        <v>2</v>
      </c>
      <c r="D41" s="50">
        <v>3</v>
      </c>
      <c r="E41" s="50">
        <v>4</v>
      </c>
      <c r="F41" s="51">
        <v>5</v>
      </c>
      <c r="G41" s="51">
        <v>6</v>
      </c>
      <c r="H41" s="50">
        <v>7</v>
      </c>
      <c r="I41" s="91">
        <v>8</v>
      </c>
      <c r="J41" s="91"/>
      <c r="K41" s="51">
        <v>9</v>
      </c>
      <c r="L41" s="50">
        <v>10</v>
      </c>
      <c r="M41" s="47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13" ht="25.5" customHeight="1">
      <c r="B42" s="66" t="s">
        <v>31</v>
      </c>
      <c r="C42" s="77">
        <f>3357983635.82</f>
        <v>3357983635.82</v>
      </c>
      <c r="D42" s="77">
        <f>2920945785.17</f>
        <v>2920945785.17</v>
      </c>
      <c r="E42" s="77">
        <f>2916061227.01</f>
        <v>2916061227.01</v>
      </c>
      <c r="F42" s="77">
        <f>201761532.35</f>
        <v>201761532.35</v>
      </c>
      <c r="G42" s="77">
        <f>0</f>
        <v>0</v>
      </c>
      <c r="H42" s="77">
        <f>1145.21</f>
        <v>1145.21</v>
      </c>
      <c r="I42" s="99">
        <f>5752275.68</f>
        <v>5752275.68</v>
      </c>
      <c r="J42" s="99"/>
      <c r="K42" s="42">
        <f aca="true" t="shared" si="2" ref="K42:K51">IF($E$42=0,"",100*$E42/$E$42)</f>
        <v>99.99999999999999</v>
      </c>
      <c r="L42" s="42">
        <f aca="true" t="shared" si="3" ref="L42:L51">IF(C42=0,"",100*E42/C42)</f>
        <v>86.83964972026776</v>
      </c>
      <c r="M42" s="22"/>
    </row>
    <row r="43" spans="2:13" ht="12.75">
      <c r="B43" s="52" t="s">
        <v>14</v>
      </c>
      <c r="C43" s="16">
        <f>506552945.03</f>
        <v>506552945.03</v>
      </c>
      <c r="D43" s="16">
        <f>325725855.08</f>
        <v>325725855.08</v>
      </c>
      <c r="E43" s="16">
        <f>325072312.45</f>
        <v>325072312.45</v>
      </c>
      <c r="F43" s="16">
        <f>6368756.37</f>
        <v>6368756.37</v>
      </c>
      <c r="G43" s="16">
        <f>0</f>
        <v>0</v>
      </c>
      <c r="H43" s="16">
        <f>0</f>
        <v>0</v>
      </c>
      <c r="I43" s="98">
        <f>5640592.68</f>
        <v>5640592.68</v>
      </c>
      <c r="J43" s="100"/>
      <c r="K43" s="21">
        <f t="shared" si="2"/>
        <v>11.14765044845491</v>
      </c>
      <c r="L43" s="21">
        <f t="shared" si="3"/>
        <v>64.17341279710614</v>
      </c>
      <c r="M43" s="22"/>
    </row>
    <row r="44" spans="2:13" ht="12.75">
      <c r="B44" s="69" t="s">
        <v>13</v>
      </c>
      <c r="C44" s="70">
        <f>485336898.03</f>
        <v>485336898.03</v>
      </c>
      <c r="D44" s="70">
        <f>304760613.83</f>
        <v>304760613.83</v>
      </c>
      <c r="E44" s="70">
        <f>304107071.2</f>
        <v>304107071.2</v>
      </c>
      <c r="F44" s="70">
        <f>6368756.37</f>
        <v>6368756.37</v>
      </c>
      <c r="G44" s="70">
        <f>0</f>
        <v>0</v>
      </c>
      <c r="H44" s="70">
        <f>0</f>
        <v>0</v>
      </c>
      <c r="I44" s="93">
        <f>5640592.68</f>
        <v>5640592.68</v>
      </c>
      <c r="J44" s="93"/>
      <c r="K44" s="79">
        <f t="shared" si="2"/>
        <v>10.428692936321433</v>
      </c>
      <c r="L44" s="79">
        <f t="shared" si="3"/>
        <v>62.65896379079802</v>
      </c>
      <c r="M44" s="22"/>
    </row>
    <row r="45" spans="2:13" ht="22.5">
      <c r="B45" s="66" t="s">
        <v>32</v>
      </c>
      <c r="C45" s="78">
        <f aca="true" t="shared" si="4" ref="C45:I45">C42-C43</f>
        <v>2851430690.79</v>
      </c>
      <c r="D45" s="78">
        <f t="shared" si="4"/>
        <v>2595219930.09</v>
      </c>
      <c r="E45" s="78">
        <f t="shared" si="4"/>
        <v>2590988914.5600004</v>
      </c>
      <c r="F45" s="78">
        <f t="shared" si="4"/>
        <v>195392775.98</v>
      </c>
      <c r="G45" s="78">
        <f t="shared" si="4"/>
        <v>0</v>
      </c>
      <c r="H45" s="78">
        <f t="shared" si="4"/>
        <v>1145.21</v>
      </c>
      <c r="I45" s="98">
        <f t="shared" si="4"/>
        <v>111683</v>
      </c>
      <c r="J45" s="98"/>
      <c r="K45" s="42">
        <f t="shared" si="2"/>
        <v>88.85234955154509</v>
      </c>
      <c r="L45" s="42">
        <f t="shared" si="3"/>
        <v>90.86627716145388</v>
      </c>
      <c r="M45" s="22"/>
    </row>
    <row r="46" spans="2:13" ht="22.5">
      <c r="B46" s="69" t="s">
        <v>76</v>
      </c>
      <c r="C46" s="70">
        <f>210052438.04</f>
        <v>210052438.04</v>
      </c>
      <c r="D46" s="70">
        <f>189460881.21</f>
        <v>189460881.21</v>
      </c>
      <c r="E46" s="70">
        <f>189382988.79</f>
        <v>189382988.79</v>
      </c>
      <c r="F46" s="70">
        <f>14079928.74</f>
        <v>14079928.74</v>
      </c>
      <c r="G46" s="70">
        <f>0</f>
        <v>0</v>
      </c>
      <c r="H46" s="70">
        <f>1145.21</f>
        <v>1145.21</v>
      </c>
      <c r="I46" s="93">
        <f>0</f>
        <v>0</v>
      </c>
      <c r="J46" s="93"/>
      <c r="K46" s="79">
        <f t="shared" si="2"/>
        <v>6.494479163737756</v>
      </c>
      <c r="L46" s="79">
        <f t="shared" si="3"/>
        <v>90.15986225017586</v>
      </c>
      <c r="M46" s="22"/>
    </row>
    <row r="47" spans="2:13" ht="12.75">
      <c r="B47" s="69" t="s">
        <v>28</v>
      </c>
      <c r="C47" s="81">
        <f>24726020.91</f>
        <v>24726020.91</v>
      </c>
      <c r="D47" s="81">
        <f>20231649.76</f>
        <v>20231649.76</v>
      </c>
      <c r="E47" s="81">
        <f>20231649.76</f>
        <v>20231649.76</v>
      </c>
      <c r="F47" s="81">
        <f>1998.9</f>
        <v>1998.9</v>
      </c>
      <c r="G47" s="81">
        <f>0</f>
        <v>0</v>
      </c>
      <c r="H47" s="81">
        <f>0</f>
        <v>0</v>
      </c>
      <c r="I47" s="94">
        <f>0</f>
        <v>0</v>
      </c>
      <c r="J47" s="94"/>
      <c r="K47" s="79">
        <f t="shared" si="2"/>
        <v>0.693800581846652</v>
      </c>
      <c r="L47" s="79">
        <f t="shared" si="3"/>
        <v>81.82331412579883</v>
      </c>
      <c r="M47" s="22"/>
    </row>
    <row r="48" spans="2:13" ht="12.75">
      <c r="B48" s="69" t="s">
        <v>27</v>
      </c>
      <c r="C48" s="70">
        <f>12400501.28</f>
        <v>12400501.28</v>
      </c>
      <c r="D48" s="70">
        <f>5466409.35</f>
        <v>5466409.35</v>
      </c>
      <c r="E48" s="70">
        <f>5466409.35</f>
        <v>5466409.35</v>
      </c>
      <c r="F48" s="70">
        <f>90236.16</f>
        <v>90236.16</v>
      </c>
      <c r="G48" s="70">
        <f>0</f>
        <v>0</v>
      </c>
      <c r="H48" s="70">
        <f>0</f>
        <v>0</v>
      </c>
      <c r="I48" s="93">
        <f>0</f>
        <v>0</v>
      </c>
      <c r="J48" s="93"/>
      <c r="K48" s="79">
        <f t="shared" si="2"/>
        <v>0.18745866168266342</v>
      </c>
      <c r="L48" s="79">
        <f t="shared" si="3"/>
        <v>44.08216431392522</v>
      </c>
      <c r="M48" s="22"/>
    </row>
    <row r="49" spans="2:13" ht="22.5" customHeight="1">
      <c r="B49" s="69" t="s">
        <v>38</v>
      </c>
      <c r="C49" s="81">
        <f>0</f>
        <v>0</v>
      </c>
      <c r="D49" s="81">
        <f>0</f>
        <v>0</v>
      </c>
      <c r="E49" s="81">
        <f>0</f>
        <v>0</v>
      </c>
      <c r="F49" s="81">
        <f>0</f>
        <v>0</v>
      </c>
      <c r="G49" s="81">
        <f>0</f>
        <v>0</v>
      </c>
      <c r="H49" s="81">
        <f>0</f>
        <v>0</v>
      </c>
      <c r="I49" s="94">
        <f>0</f>
        <v>0</v>
      </c>
      <c r="J49" s="94"/>
      <c r="K49" s="79">
        <f t="shared" si="2"/>
        <v>0</v>
      </c>
      <c r="L49" s="79">
        <f t="shared" si="3"/>
      </c>
      <c r="M49" s="22"/>
    </row>
    <row r="50" spans="2:13" ht="22.5" customHeight="1">
      <c r="B50" s="69" t="s">
        <v>39</v>
      </c>
      <c r="C50" s="81">
        <f>2524528.85</f>
        <v>2524528.85</v>
      </c>
      <c r="D50" s="81">
        <f>1431616.58</f>
        <v>1431616.58</v>
      </c>
      <c r="E50" s="81">
        <f>1431616.58</f>
        <v>1431616.58</v>
      </c>
      <c r="F50" s="81">
        <f>58071.27</f>
        <v>58071.27</v>
      </c>
      <c r="G50" s="81">
        <f>0</f>
        <v>0</v>
      </c>
      <c r="H50" s="81">
        <f>0</f>
        <v>0</v>
      </c>
      <c r="I50" s="95">
        <f>0</f>
        <v>0</v>
      </c>
      <c r="J50" s="96"/>
      <c r="K50" s="79">
        <f t="shared" si="2"/>
        <v>0.049094187966276556</v>
      </c>
      <c r="L50" s="79">
        <f t="shared" si="3"/>
        <v>56.70826776251735</v>
      </c>
      <c r="M50" s="22"/>
    </row>
    <row r="51" spans="2:13" ht="12.75">
      <c r="B51" s="69" t="s">
        <v>26</v>
      </c>
      <c r="C51" s="70">
        <f aca="true" t="shared" si="5" ref="C51:I51">C45-C46-C47-C48-C49-C50</f>
        <v>2601727201.71</v>
      </c>
      <c r="D51" s="70">
        <f t="shared" si="5"/>
        <v>2378629373.19</v>
      </c>
      <c r="E51" s="70">
        <f t="shared" si="5"/>
        <v>2374476250.0800004</v>
      </c>
      <c r="F51" s="70">
        <f t="shared" si="5"/>
        <v>181162540.90999997</v>
      </c>
      <c r="G51" s="70">
        <f t="shared" si="5"/>
        <v>0</v>
      </c>
      <c r="H51" s="70">
        <f t="shared" si="5"/>
        <v>0</v>
      </c>
      <c r="I51" s="95">
        <f t="shared" si="5"/>
        <v>111683</v>
      </c>
      <c r="J51" s="96"/>
      <c r="K51" s="79">
        <f t="shared" si="2"/>
        <v>81.42751695631175</v>
      </c>
      <c r="L51" s="79">
        <f t="shared" si="3"/>
        <v>91.26538126362219</v>
      </c>
      <c r="M51" s="22"/>
    </row>
    <row r="52" spans="2:13" ht="12.75">
      <c r="B52" s="66" t="s">
        <v>15</v>
      </c>
      <c r="C52" s="78">
        <f>C6-C42</f>
        <v>-200310254.16000032</v>
      </c>
      <c r="D52" s="78"/>
      <c r="E52" s="78">
        <f>D6-E42</f>
        <v>230098715.55999994</v>
      </c>
      <c r="F52" s="78"/>
      <c r="G52" s="78"/>
      <c r="H52" s="78"/>
      <c r="I52" s="98"/>
      <c r="J52" s="98"/>
      <c r="K52" s="82"/>
      <c r="L52" s="82"/>
      <c r="M52" s="54"/>
    </row>
    <row r="53" spans="2:13" ht="7.5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4.25" customHeight="1">
      <c r="B54" s="109" t="str">
        <f>CONCATENATE("Informacja z wykonania budżetów związków jednostek samorządu terytorialnego za ",$D$83," ",$C$84," rok                 ",$C$86,"")</f>
        <v>Informacja z wykonania budżetów związków jednostek samorządu terytorialnego za IV Kwartały 2021 rok                 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65"/>
    </row>
    <row r="55" spans="2:13" ht="12.75">
      <c r="B55" s="58" t="s">
        <v>16</v>
      </c>
      <c r="C55" s="111" t="s">
        <v>17</v>
      </c>
      <c r="D55" s="112"/>
      <c r="E55" s="111" t="s">
        <v>1</v>
      </c>
      <c r="F55" s="112"/>
      <c r="G55" s="50" t="s">
        <v>21</v>
      </c>
      <c r="H55" s="50" t="s">
        <v>22</v>
      </c>
      <c r="I55" s="47"/>
      <c r="J55" s="47"/>
      <c r="K55" s="47"/>
      <c r="L55" s="47"/>
      <c r="M55" s="47"/>
    </row>
    <row r="56" spans="2:13" ht="12.75">
      <c r="B56" s="58"/>
      <c r="C56" s="102" t="s">
        <v>43</v>
      </c>
      <c r="D56" s="113"/>
      <c r="E56" s="113"/>
      <c r="F56" s="114"/>
      <c r="G56" s="115" t="s">
        <v>4</v>
      </c>
      <c r="H56" s="116"/>
      <c r="I56" s="47"/>
      <c r="J56" s="47"/>
      <c r="K56" s="47"/>
      <c r="L56" s="47"/>
      <c r="M56" s="47"/>
    </row>
    <row r="57" spans="2:13" ht="12.75">
      <c r="B57" s="59">
        <v>1</v>
      </c>
      <c r="C57" s="60">
        <v>2</v>
      </c>
      <c r="D57" s="61"/>
      <c r="E57" s="60">
        <v>3</v>
      </c>
      <c r="F57" s="61"/>
      <c r="G57" s="62">
        <v>4</v>
      </c>
      <c r="H57" s="62">
        <v>5</v>
      </c>
      <c r="I57" s="47"/>
      <c r="J57" s="47"/>
      <c r="K57" s="47"/>
      <c r="L57" s="47"/>
      <c r="M57" s="47"/>
    </row>
    <row r="58" spans="2:13" ht="22.5">
      <c r="B58" s="56" t="s">
        <v>33</v>
      </c>
      <c r="C58" s="29">
        <f>293372576.66</f>
        <v>293372576.66</v>
      </c>
      <c r="D58" s="30"/>
      <c r="E58" s="29">
        <f>940794777.28</f>
        <v>940794777.28</v>
      </c>
      <c r="F58" s="30"/>
      <c r="G58" s="26">
        <f>IF($E$58=0,"",100*$E58/$E$58)</f>
        <v>100</v>
      </c>
      <c r="H58" s="21">
        <f>IF(C58=0,"",100*E58/C58)</f>
        <v>320.6825900330557</v>
      </c>
      <c r="I58" s="47"/>
      <c r="J58" s="47"/>
      <c r="K58" s="47"/>
      <c r="L58" s="47"/>
      <c r="M58" s="47"/>
    </row>
    <row r="59" spans="2:13" ht="22.5">
      <c r="B59" s="23" t="s">
        <v>67</v>
      </c>
      <c r="C59" s="31">
        <f>31817817</f>
        <v>31817817</v>
      </c>
      <c r="D59" s="32"/>
      <c r="E59" s="31">
        <f>31569787.52</f>
        <v>31569787.52</v>
      </c>
      <c r="F59" s="32"/>
      <c r="G59" s="40">
        <f aca="true" t="shared" si="6" ref="G59:G66">IF($E$58=0,"",100*$E59/$E$58)</f>
        <v>3.3556508052982292</v>
      </c>
      <c r="H59" s="41">
        <f aca="true" t="shared" si="7" ref="H59:H71">IF(C59=0,"",100*E59/C59)</f>
        <v>99.22046983927275</v>
      </c>
      <c r="I59" s="47"/>
      <c r="J59" s="47"/>
      <c r="K59" s="47"/>
      <c r="L59" s="47"/>
      <c r="M59" s="47"/>
    </row>
    <row r="60" spans="2:13" ht="22.5">
      <c r="B60" s="83" t="s">
        <v>68</v>
      </c>
      <c r="C60" s="84">
        <f>0</f>
        <v>0</v>
      </c>
      <c r="D60" s="85"/>
      <c r="E60" s="84">
        <f>0</f>
        <v>0</v>
      </c>
      <c r="F60" s="85"/>
      <c r="G60" s="86">
        <f t="shared" si="6"/>
        <v>0</v>
      </c>
      <c r="H60" s="80">
        <f t="shared" si="7"/>
      </c>
      <c r="I60" s="47"/>
      <c r="J60" s="47"/>
      <c r="K60" s="47"/>
      <c r="L60" s="47"/>
      <c r="M60" s="47"/>
    </row>
    <row r="61" spans="2:13" ht="12.75">
      <c r="B61" s="87" t="s">
        <v>69</v>
      </c>
      <c r="C61" s="84">
        <f>0</f>
        <v>0</v>
      </c>
      <c r="D61" s="85"/>
      <c r="E61" s="84">
        <f>0</f>
        <v>0</v>
      </c>
      <c r="F61" s="85"/>
      <c r="G61" s="86">
        <f t="shared" si="6"/>
        <v>0</v>
      </c>
      <c r="H61" s="80">
        <f t="shared" si="7"/>
      </c>
      <c r="I61" s="47"/>
      <c r="J61" s="47"/>
      <c r="K61" s="47"/>
      <c r="L61" s="47"/>
      <c r="M61" s="47"/>
    </row>
    <row r="62" spans="2:13" ht="12.75">
      <c r="B62" s="87" t="s">
        <v>70</v>
      </c>
      <c r="C62" s="84">
        <f>194521297.19</f>
        <v>194521297.19</v>
      </c>
      <c r="D62" s="85"/>
      <c r="E62" s="84">
        <f>823118352.45</f>
        <v>823118352.45</v>
      </c>
      <c r="F62" s="85"/>
      <c r="G62" s="86">
        <f t="shared" si="6"/>
        <v>87.49180717496935</v>
      </c>
      <c r="H62" s="80">
        <f t="shared" si="7"/>
        <v>423.1507625851444</v>
      </c>
      <c r="I62" s="47"/>
      <c r="J62" s="47"/>
      <c r="K62" s="47"/>
      <c r="L62" s="47"/>
      <c r="M62" s="47"/>
    </row>
    <row r="63" spans="2:13" ht="35.25" customHeight="1">
      <c r="B63" s="87" t="s">
        <v>77</v>
      </c>
      <c r="C63" s="84">
        <f>9372506.16</f>
        <v>9372506.16</v>
      </c>
      <c r="D63" s="85"/>
      <c r="E63" s="84">
        <f>10452702.1</f>
        <v>10452702.1</v>
      </c>
      <c r="F63" s="85"/>
      <c r="G63" s="86">
        <f t="shared" si="6"/>
        <v>1.1110501835714444</v>
      </c>
      <c r="H63" s="80">
        <f t="shared" si="7"/>
        <v>111.52515582875861</v>
      </c>
      <c r="I63" s="47"/>
      <c r="J63" s="47"/>
      <c r="K63" s="47"/>
      <c r="L63" s="47"/>
      <c r="M63" s="47"/>
    </row>
    <row r="64" spans="2:13" ht="12.75">
      <c r="B64" s="87" t="s">
        <v>71</v>
      </c>
      <c r="C64" s="84">
        <f>0</f>
        <v>0</v>
      </c>
      <c r="D64" s="85"/>
      <c r="E64" s="84">
        <f>0</f>
        <v>0</v>
      </c>
      <c r="F64" s="85"/>
      <c r="G64" s="86">
        <f t="shared" si="6"/>
        <v>0</v>
      </c>
      <c r="H64" s="80">
        <f t="shared" si="7"/>
      </c>
      <c r="I64" s="47"/>
      <c r="J64" s="47"/>
      <c r="K64" s="47"/>
      <c r="L64" s="47"/>
      <c r="M64" s="47"/>
    </row>
    <row r="65" spans="2:13" ht="33.75">
      <c r="B65" s="87" t="s">
        <v>72</v>
      </c>
      <c r="C65" s="84">
        <f>57600956.31</f>
        <v>57600956.31</v>
      </c>
      <c r="D65" s="85"/>
      <c r="E65" s="84">
        <f>75594939.85</f>
        <v>75594939.85</v>
      </c>
      <c r="F65" s="85"/>
      <c r="G65" s="86">
        <f t="shared" si="6"/>
        <v>8.035221036043376</v>
      </c>
      <c r="H65" s="80">
        <f t="shared" si="7"/>
        <v>131.2390361075934</v>
      </c>
      <c r="I65" s="47"/>
      <c r="J65" s="47"/>
      <c r="K65" s="47"/>
      <c r="L65" s="47"/>
      <c r="M65" s="47"/>
    </row>
    <row r="66" spans="2:13" ht="12.75">
      <c r="B66" s="83" t="s">
        <v>45</v>
      </c>
      <c r="C66" s="84">
        <f>60000</f>
        <v>60000</v>
      </c>
      <c r="D66" s="85"/>
      <c r="E66" s="84">
        <f>58995.36</f>
        <v>58995.36</v>
      </c>
      <c r="F66" s="85"/>
      <c r="G66" s="86">
        <f t="shared" si="6"/>
        <v>0.006270800117594803</v>
      </c>
      <c r="H66" s="80">
        <f t="shared" si="7"/>
        <v>98.3256</v>
      </c>
      <c r="I66" s="47"/>
      <c r="J66" s="47"/>
      <c r="K66" s="47"/>
      <c r="L66" s="47"/>
      <c r="M66" s="47"/>
    </row>
    <row r="67" spans="2:13" ht="22.5">
      <c r="B67" s="56" t="s">
        <v>34</v>
      </c>
      <c r="C67" s="37">
        <f>93034122.5</f>
        <v>93034122.5</v>
      </c>
      <c r="D67" s="38"/>
      <c r="E67" s="37">
        <f>44058593.99</f>
        <v>44058593.99</v>
      </c>
      <c r="F67" s="38"/>
      <c r="G67" s="26">
        <f>IF($E$67=0,"",100*$E67/$E$67)</f>
        <v>100</v>
      </c>
      <c r="H67" s="21">
        <f t="shared" si="7"/>
        <v>47.357456389186666</v>
      </c>
      <c r="I67" s="47"/>
      <c r="J67" s="47"/>
      <c r="K67" s="47"/>
      <c r="L67" s="47"/>
      <c r="M67" s="47"/>
    </row>
    <row r="68" spans="2:13" ht="33.75">
      <c r="B68" s="23" t="s">
        <v>73</v>
      </c>
      <c r="C68" s="31">
        <f>34575987.71</f>
        <v>34575987.71</v>
      </c>
      <c r="D68" s="35"/>
      <c r="E68" s="36">
        <f>33493449.89</f>
        <v>33493449.89</v>
      </c>
      <c r="F68" s="35"/>
      <c r="G68" s="40">
        <f>IF($E$67=0,"",100*$E68/$E$67)</f>
        <v>76.02024226556577</v>
      </c>
      <c r="H68" s="41">
        <f t="shared" si="7"/>
        <v>96.86910514580352</v>
      </c>
      <c r="I68" s="47"/>
      <c r="J68" s="47"/>
      <c r="K68" s="47"/>
      <c r="L68" s="47"/>
      <c r="M68" s="47"/>
    </row>
    <row r="69" spans="2:13" ht="12.75">
      <c r="B69" s="87" t="s">
        <v>74</v>
      </c>
      <c r="C69" s="84">
        <f>0</f>
        <v>0</v>
      </c>
      <c r="D69" s="85"/>
      <c r="E69" s="84">
        <f>0</f>
        <v>0</v>
      </c>
      <c r="F69" s="85"/>
      <c r="G69" s="86">
        <f>IF($E$67=0,"",100*$E69/$E$67)</f>
        <v>0</v>
      </c>
      <c r="H69" s="80">
        <f t="shared" si="7"/>
      </c>
      <c r="I69" s="47"/>
      <c r="J69" s="47"/>
      <c r="K69" s="47"/>
      <c r="L69" s="47"/>
      <c r="M69" s="47"/>
    </row>
    <row r="70" spans="2:13" ht="12.75">
      <c r="B70" s="87" t="s">
        <v>75</v>
      </c>
      <c r="C70" s="84">
        <f>50150000</f>
        <v>50150000</v>
      </c>
      <c r="D70" s="85"/>
      <c r="E70" s="84">
        <f>150000</f>
        <v>150000</v>
      </c>
      <c r="F70" s="85"/>
      <c r="G70" s="86">
        <f>IF($E$67=0,"",100*$E70/$E$67)</f>
        <v>0.3404557123044952</v>
      </c>
      <c r="H70" s="80">
        <f t="shared" si="7"/>
        <v>0.29910269192422734</v>
      </c>
      <c r="I70" s="47"/>
      <c r="J70" s="47"/>
      <c r="K70" s="47"/>
      <c r="L70" s="47"/>
      <c r="M70" s="47"/>
    </row>
    <row r="71" spans="2:13" ht="12.75">
      <c r="B71" s="87" t="s">
        <v>23</v>
      </c>
      <c r="C71" s="84">
        <f>8308134.79</f>
        <v>8308134.79</v>
      </c>
      <c r="D71" s="85"/>
      <c r="E71" s="84">
        <f>10415144.1</f>
        <v>10415144.1</v>
      </c>
      <c r="F71" s="85"/>
      <c r="G71" s="86">
        <f>IF($E$67=0,"",100*$E71/$E$67)</f>
        <v>23.639302022129733</v>
      </c>
      <c r="H71" s="80">
        <f t="shared" si="7"/>
        <v>125.36079834111598</v>
      </c>
      <c r="I71" s="47"/>
      <c r="J71" s="47"/>
      <c r="K71" s="47"/>
      <c r="L71" s="47"/>
      <c r="M71" s="47"/>
    </row>
    <row r="72" spans="2:13" ht="12.75">
      <c r="B72" s="22"/>
      <c r="C72" s="22"/>
      <c r="D72" s="22"/>
      <c r="E72" s="22"/>
      <c r="F72" s="22"/>
      <c r="G72" s="22"/>
      <c r="H72" s="22"/>
      <c r="I72" s="47"/>
      <c r="J72" s="47"/>
      <c r="K72" s="47"/>
      <c r="L72" s="47"/>
      <c r="M72" s="47"/>
    </row>
    <row r="73" spans="2:13" ht="12.75">
      <c r="B73" s="55" t="s">
        <v>16</v>
      </c>
      <c r="C73" s="118" t="s">
        <v>17</v>
      </c>
      <c r="D73" s="119"/>
      <c r="E73" s="118" t="s">
        <v>1</v>
      </c>
      <c r="F73" s="119"/>
      <c r="G73" s="13" t="s">
        <v>21</v>
      </c>
      <c r="H73" s="13" t="s">
        <v>22</v>
      </c>
      <c r="I73" s="47"/>
      <c r="J73" s="47"/>
      <c r="K73" s="47"/>
      <c r="L73" s="47"/>
      <c r="M73" s="47"/>
    </row>
    <row r="74" spans="2:13" ht="12.75">
      <c r="B74" s="55"/>
      <c r="C74" s="104" t="s">
        <v>43</v>
      </c>
      <c r="D74" s="105"/>
      <c r="E74" s="105"/>
      <c r="F74" s="106"/>
      <c r="G74" s="107" t="s">
        <v>4</v>
      </c>
      <c r="H74" s="108"/>
      <c r="I74" s="47"/>
      <c r="J74" s="47"/>
      <c r="K74" s="47"/>
      <c r="L74" s="47"/>
      <c r="M74" s="47"/>
    </row>
    <row r="75" spans="2:13" ht="12.75">
      <c r="B75" s="24">
        <v>1</v>
      </c>
      <c r="C75" s="27">
        <v>2</v>
      </c>
      <c r="D75" s="28"/>
      <c r="E75" s="27">
        <v>3</v>
      </c>
      <c r="F75" s="28"/>
      <c r="G75" s="25">
        <v>4</v>
      </c>
      <c r="H75" s="25">
        <v>5</v>
      </c>
      <c r="I75" s="47"/>
      <c r="J75" s="47"/>
      <c r="K75" s="47"/>
      <c r="L75" s="47"/>
      <c r="M75" s="47"/>
    </row>
    <row r="76" spans="2:13" ht="22.5">
      <c r="B76" s="39" t="s">
        <v>46</v>
      </c>
      <c r="C76" s="34">
        <f>202802949.16</f>
        <v>202802949.16</v>
      </c>
      <c r="D76" s="33"/>
      <c r="E76" s="34">
        <f>76117506.58</f>
        <v>76117506.58</v>
      </c>
      <c r="F76" s="30"/>
      <c r="G76" s="26"/>
      <c r="H76" s="21"/>
      <c r="I76" s="47"/>
      <c r="J76" s="47"/>
      <c r="K76" s="47"/>
      <c r="L76" s="47"/>
      <c r="M76" s="47"/>
    </row>
    <row r="77" spans="2:13" ht="45">
      <c r="B77" s="44" t="s">
        <v>47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12.75">
      <c r="B78" s="44" t="s">
        <v>48</v>
      </c>
      <c r="C78" s="36">
        <f>22643344</f>
        <v>22643344</v>
      </c>
      <c r="D78" s="35"/>
      <c r="E78" s="36">
        <f>1599696.61</f>
        <v>1599696.61</v>
      </c>
      <c r="F78" s="35"/>
      <c r="G78" s="40"/>
      <c r="H78" s="41"/>
      <c r="I78" s="47"/>
      <c r="J78" s="47"/>
      <c r="K78" s="47"/>
      <c r="L78" s="47"/>
      <c r="M78" s="47"/>
    </row>
    <row r="79" spans="2:13" ht="22.5">
      <c r="B79" s="44" t="s">
        <v>49</v>
      </c>
      <c r="C79" s="36">
        <f>0</f>
        <v>0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33.75">
      <c r="B80" s="44" t="s">
        <v>50</v>
      </c>
      <c r="C80" s="36">
        <f>32223549.9</f>
        <v>32223549.9</v>
      </c>
      <c r="D80" s="35"/>
      <c r="E80" s="36">
        <f>1535828.61</f>
        <v>1535828.61</v>
      </c>
      <c r="F80" s="35"/>
      <c r="G80" s="40"/>
      <c r="H80" s="41"/>
      <c r="I80" s="47"/>
      <c r="J80" s="47"/>
      <c r="K80" s="47"/>
      <c r="L80" s="47"/>
      <c r="M80" s="47"/>
    </row>
    <row r="81" spans="2:13" ht="98.25" customHeight="1">
      <c r="B81" s="44" t="s">
        <v>51</v>
      </c>
      <c r="C81" s="36">
        <f>32223549.9</f>
        <v>32223549.9</v>
      </c>
      <c r="D81" s="35"/>
      <c r="E81" s="36">
        <f>1535828.61</f>
        <v>1535828.61</v>
      </c>
      <c r="F81" s="35"/>
      <c r="G81" s="40"/>
      <c r="H81" s="41"/>
      <c r="I81" s="47"/>
      <c r="J81" s="47"/>
      <c r="K81" s="47"/>
      <c r="L81" s="47"/>
      <c r="M81" s="47"/>
    </row>
    <row r="82" spans="2:13" ht="13.5" customHeight="1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9.75" customHeight="1">
      <c r="B83" s="63" t="s">
        <v>35</v>
      </c>
      <c r="C83" s="63">
        <f>4</f>
        <v>4</v>
      </c>
      <c r="D83" s="63" t="str">
        <f>IF(C83=1,"I Kwartał",IF(C83=2,"II Kwartały",IF(C83=3,"III Kwartały",IF(C83=4,"IV Kwartały","-"))))</f>
        <v>IV Kwartały</v>
      </c>
      <c r="E83" s="47"/>
      <c r="F83" s="47"/>
      <c r="G83" s="47"/>
      <c r="H83" s="47"/>
      <c r="I83" s="47"/>
      <c r="J83" s="47"/>
      <c r="K83" s="47"/>
      <c r="L83" s="47"/>
      <c r="M83" s="47"/>
    </row>
    <row r="84" spans="2:13" ht="11.25" customHeight="1">
      <c r="B84" s="63" t="s">
        <v>36</v>
      </c>
      <c r="C84" s="63">
        <f>2021</f>
        <v>2021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2:13" ht="10.5" customHeight="1">
      <c r="B85" s="63" t="s">
        <v>37</v>
      </c>
      <c r="C85" s="64" t="str">
        <f>"Mar 21 2022 12:00AM"</f>
        <v>Mar 21 2022 12:00AM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13" ht="10.5" customHeight="1">
      <c r="B86" s="63" t="s">
        <v>42</v>
      </c>
      <c r="C86" s="64">
        <f>""</f>
      </c>
      <c r="D86" s="47"/>
      <c r="E86" s="47"/>
      <c r="F86" s="47"/>
      <c r="G86" s="47"/>
      <c r="H86" s="47"/>
      <c r="I86" s="47"/>
      <c r="J86" s="47"/>
      <c r="K86" s="47"/>
      <c r="L86" s="47"/>
      <c r="M86" s="47"/>
    </row>
  </sheetData>
  <sheetProtection/>
  <mergeCells count="38">
    <mergeCell ref="G56:H56"/>
    <mergeCell ref="L37:L39"/>
    <mergeCell ref="B37:B40"/>
    <mergeCell ref="K37:K39"/>
    <mergeCell ref="C73:D73"/>
    <mergeCell ref="E73:F73"/>
    <mergeCell ref="D37:D39"/>
    <mergeCell ref="I44:J44"/>
    <mergeCell ref="I45:J45"/>
    <mergeCell ref="I47:J47"/>
    <mergeCell ref="C74:F74"/>
    <mergeCell ref="G74:H74"/>
    <mergeCell ref="B1:L1"/>
    <mergeCell ref="B35:L35"/>
    <mergeCell ref="B54:L54"/>
    <mergeCell ref="C55:D55"/>
    <mergeCell ref="E55:F55"/>
    <mergeCell ref="C56:F56"/>
    <mergeCell ref="F4:H4"/>
    <mergeCell ref="I37:J39"/>
    <mergeCell ref="I52:J52"/>
    <mergeCell ref="I50:J50"/>
    <mergeCell ref="I42:J42"/>
    <mergeCell ref="I43:J43"/>
    <mergeCell ref="I46:J46"/>
    <mergeCell ref="B3:B4"/>
    <mergeCell ref="F38:F39"/>
    <mergeCell ref="F37:H37"/>
    <mergeCell ref="G38:H38"/>
    <mergeCell ref="C4:E4"/>
    <mergeCell ref="I41:J41"/>
    <mergeCell ref="K40:L40"/>
    <mergeCell ref="I48:J48"/>
    <mergeCell ref="I49:J49"/>
    <mergeCell ref="I51:J51"/>
    <mergeCell ref="E37:E39"/>
    <mergeCell ref="C40:J40"/>
    <mergeCell ref="C37:C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4" manualBreakCount="4">
    <brk id="23" max="11" man="1"/>
    <brk id="33" max="11" man="1"/>
    <brk id="53" max="11" man="1"/>
    <brk id="72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2017-03-30T12:13:25Z</cp:lastPrinted>
  <dcterms:created xsi:type="dcterms:W3CDTF">2001-05-17T08:58:03Z</dcterms:created>
  <dcterms:modified xsi:type="dcterms:W3CDTF">2022-04-05T07:22:11Z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2022-04-05T09:22:05.6602367+02:00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GRN-6bbc0b81-dc94-4514-ab4a-8b3b53f17b32</vt:lpwstr>
  </property>
  <property fmtid="{D5CDD505-2E9C-101B-9397-08002B2CF9AE}" pid="7" name="MFHash">
    <vt:lpwstr>2+MuLkVy4AEeEckNdLMIpkzVJhUq8hQKJz/NygYZLIs=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