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'doch_wyd'!$A$1:$M$104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<sst xmlns="http://schemas.openxmlformats.org/spreadsheetml/2006/main" count="256" uniqueCount="105">
  <si>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</si>
  <si>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</si>
  <si>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</si>
  <si>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</si>
  <si>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</si>
  <si>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</si>
  <si>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</si>
  <si>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</si>
  <si>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</si>
  <si>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</si>
  <si>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</si>
  <si>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</si>
  <si>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</si>
  <si>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</si>
  <si>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</si>
  <si>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</si>
  <si>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</si>
  <si>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</si>
  <si>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</si>
  <si>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</si>
  <si>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</si>
  <si>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</si>
  <si>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</si>
  <si>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</si>
  <si>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</si>
  <si>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</si>
  <si>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</si>
  <si>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</si>
  <si>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</si>
  <si>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</si>
  <si>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</si>
  <si>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</si>
  <si>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</si>
  <si>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</si>
  <si>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</si>
  <si>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</si>
  <si>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</si>
  <si>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</si>
  <si>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</si>
  <si>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</si>
  <si>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</si>
  <si>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</si>
  <si>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</si>
  <si>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</si>
  <si>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</si>
  <si>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</si>
  <si>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</si>
  <si>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</si>
  <si>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</si>
  <si>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</si>
  <si>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</si>
  <si>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</si>
  <si>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</si>
  <si>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</si>
  <si>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</si>
  <si>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</si>
  <si>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</si>
  <si>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</si>
  <si>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</si>
  <si>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</si>
  <si>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</si>
  <si>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</si>
  <si>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</si>
  <si>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</si>
  <si>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</si>
  <si>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</si>
  <si>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</si>
  <si>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</si>
  <si>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</si>
  <si>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z tego: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</si>
  <si>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</si>
  <si>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</si>
  <si>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</si>
  <si>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</si>
  <si>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</si>
  <si>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</si>
  <si>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</si>
  <si>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</si>
  <si>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</si>
  <si>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</si>
  <si>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</si>
  <si>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</si>
  <si>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</si>
  <si>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</si>
  <si>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</si>
  <si>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</si>
  <si>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</si>
  <si>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</si>
  <si>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</si>
  <si>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</si>
  <si>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</si>
  <si>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</si>
  <si>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</si>
  <si>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</si>
  <si>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</si>
  <si>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</si>
  <si>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>udzielone pożyczki</t>
  </si>
  <si>
    <t>Dotacje §§ 200 i 620</t>
  </si>
  <si>
    <t>w tym: inwestycyjne § 620</t>
  </si>
  <si>
    <t>Dotacje §§ 205 i 625</t>
  </si>
  <si>
    <t>w tym: inwestycyjne § 625</t>
  </si>
  <si>
    <t>wydatki na wynagrodzenia i pochodne od wynagrodzeń</t>
  </si>
  <si>
    <t>niewykorzystane środki pieniężne o których mowa w art..217 ust.2 pkt.8 ustawy o finansach publicznych</t>
  </si>
  <si>
    <t>otrzymane ze środków z Funduszu Przeciwdziałania COVID-19 (m.in. z Rządowego Funduszu Inwestycji Lokalnych)</t>
  </si>
  <si>
    <t xml:space="preserve">Informacja z wykonania budżetów gmin za III Kwartały 2021 rok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</si>
</sst>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50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50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 wrapText="1" inden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13" fillId="37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4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100" t="s">
        <v>104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ht="0.75" customHeight="1"/>
    <row r="3" spans="2:13" ht="63.75" customHeight="1">
      <c r="B3" s="103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3"/>
      <c r="C4" s="104" t="s">
        <v>78</v>
      </c>
      <c r="D4" s="104"/>
      <c r="E4" s="104"/>
      <c r="F4" s="104"/>
      <c r="G4" s="104"/>
      <c r="H4" s="104"/>
      <c r="I4" s="104"/>
      <c r="J4" s="104"/>
      <c r="K4" s="104" t="s">
        <v>4</v>
      </c>
      <c r="L4" s="104"/>
      <c r="M4" s="104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12.75">
      <c r="B6" s="80" t="s">
        <v>5</v>
      </c>
      <c r="C6" s="49">
        <f>152055609497.63</f>
        <v>152055609497.63</v>
      </c>
      <c r="D6" s="49">
        <f>115988315337.9</f>
        <v>115988315337.9</v>
      </c>
      <c r="E6" s="49">
        <f>112641274998.57</f>
        <v>112641274998.57</v>
      </c>
      <c r="F6" s="49">
        <f>2341148664.29</f>
        <v>2341148664.29</v>
      </c>
      <c r="G6" s="49">
        <f>623923215.71</f>
        <v>623923215.71</v>
      </c>
      <c r="H6" s="49">
        <f>94430530.48</f>
        <v>94430530.48</v>
      </c>
      <c r="I6" s="49">
        <f>106384700.57</f>
        <v>106384700.57</v>
      </c>
      <c r="J6" s="49">
        <f>2347051.61</f>
        <v>2347051.61</v>
      </c>
      <c r="K6" s="50">
        <f aca="true" t="shared" si="0" ref="K6:K51">IF($D$6=0,"",100*$D6/$D$6)</f>
        <v>100</v>
      </c>
      <c r="L6" s="50">
        <f aca="true" t="shared" si="1" ref="L6:L47">IF(C6=0,"",100*D6/C6)</f>
        <v>76.28019493730538</v>
      </c>
      <c r="M6" s="50"/>
    </row>
    <row r="7" spans="2:13" ht="25.5" customHeight="1">
      <c r="B7" s="80" t="s">
        <v>61</v>
      </c>
      <c r="C7" s="25">
        <f>C6-C22-C42</f>
        <v>66271030374.06999</v>
      </c>
      <c r="D7" s="25">
        <f>D6-D22-D42</f>
        <v>50801338917.19</v>
      </c>
      <c r="E7" s="25">
        <f>E6-E22-E42</f>
        <v>49292876124.270004</v>
      </c>
      <c r="F7" s="25">
        <f>F6</f>
        <v>2341148664.29</v>
      </c>
      <c r="G7" s="25">
        <f>G6</f>
        <v>623923215.71</v>
      </c>
      <c r="H7" s="25">
        <f>H6</f>
        <v>94430530.48</v>
      </c>
      <c r="I7" s="25">
        <f>I6</f>
        <v>106384700.57</v>
      </c>
      <c r="J7" s="25">
        <f>J6</f>
        <v>2347051.61</v>
      </c>
      <c r="K7" s="33">
        <f t="shared" si="0"/>
        <v>43.79866952045497</v>
      </c>
      <c r="L7" s="33">
        <f t="shared" si="1"/>
        <v>76.65693234349824</v>
      </c>
      <c r="M7" s="33">
        <f aca="true" t="shared" si="2" ref="M7:M21">IF($D$7=0,"",100*$D7/$D$7)</f>
        <v>100</v>
      </c>
    </row>
    <row r="8" spans="2:13" ht="22.5" customHeight="1">
      <c r="B8" s="32" t="s">
        <v>35</v>
      </c>
      <c r="C8" s="24">
        <f>1192865412.76</f>
        <v>1192865412.76</v>
      </c>
      <c r="D8" s="24">
        <f>1120763595.74</f>
        <v>1120763595.74</v>
      </c>
      <c r="E8" s="24">
        <f>1145019542.16</f>
        <v>1145019542.16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24">
        <f>0</f>
        <v>0</v>
      </c>
      <c r="K8" s="34">
        <f t="shared" si="0"/>
        <v>0.9662728460836457</v>
      </c>
      <c r="L8" s="34">
        <f t="shared" si="1"/>
        <v>93.9555782028105</v>
      </c>
      <c r="M8" s="34">
        <f t="shared" si="2"/>
        <v>2.2061694034618435</v>
      </c>
    </row>
    <row r="9" spans="2:13" ht="22.5" customHeight="1">
      <c r="B9" s="32" t="s">
        <v>19</v>
      </c>
      <c r="C9" s="24">
        <f>23908477329.11</f>
        <v>23908477329.11</v>
      </c>
      <c r="D9" s="24">
        <f>18110621981</f>
        <v>18110621981</v>
      </c>
      <c r="E9" s="24">
        <f>16653861041.48</f>
        <v>16653861041.48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24">
        <f>0</f>
        <v>0</v>
      </c>
      <c r="K9" s="34">
        <f t="shared" si="0"/>
        <v>15.61417796977195</v>
      </c>
      <c r="L9" s="34">
        <f t="shared" si="1"/>
        <v>75.74979255976805</v>
      </c>
      <c r="M9" s="34">
        <f t="shared" si="2"/>
        <v>35.64989106000075</v>
      </c>
    </row>
    <row r="10" spans="2:13" ht="13.5" customHeight="1">
      <c r="B10" s="32" t="s">
        <v>20</v>
      </c>
      <c r="C10" s="24">
        <f>1650345059.68</f>
        <v>1650345059.68</v>
      </c>
      <c r="D10" s="24">
        <f>1285617813.07</f>
        <v>1285617813.07</v>
      </c>
      <c r="E10" s="24">
        <f>1284750485.77</f>
        <v>1284750485.77</v>
      </c>
      <c r="F10" s="24">
        <f>107175631.1</f>
        <v>107175631.1</v>
      </c>
      <c r="G10" s="24">
        <f>884171.01</f>
        <v>884171.01</v>
      </c>
      <c r="H10" s="24">
        <f>2718208.28</f>
        <v>2718208.28</v>
      </c>
      <c r="I10" s="24">
        <f>1749755.17</f>
        <v>1749755.17</v>
      </c>
      <c r="J10" s="24">
        <f>2601.08</f>
        <v>2601.08</v>
      </c>
      <c r="K10" s="34">
        <f t="shared" si="0"/>
        <v>1.1084028674135897</v>
      </c>
      <c r="L10" s="34">
        <f t="shared" si="1"/>
        <v>77.89994010823892</v>
      </c>
      <c r="M10" s="34">
        <f t="shared" si="2"/>
        <v>2.530677026378485</v>
      </c>
    </row>
    <row r="11" spans="2:13" ht="13.5" customHeight="1">
      <c r="B11" s="32" t="s">
        <v>21</v>
      </c>
      <c r="C11" s="24">
        <f>15728889125.01</f>
        <v>15728889125.01</v>
      </c>
      <c r="D11" s="62">
        <f>12227416303.23</f>
        <v>12227416303.23</v>
      </c>
      <c r="E11" s="24">
        <f>12227401682.61</f>
        <v>12227401682.61</v>
      </c>
      <c r="F11" s="24">
        <f>1567286528.33</f>
        <v>1567286528.33</v>
      </c>
      <c r="G11" s="24">
        <f>521400900.62</f>
        <v>521400900.62</v>
      </c>
      <c r="H11" s="24">
        <f>75991151.57</f>
        <v>75991151.57</v>
      </c>
      <c r="I11" s="24">
        <f>87672704.37</f>
        <v>87672704.37</v>
      </c>
      <c r="J11" s="24">
        <f>2018759.52</f>
        <v>2018759.52</v>
      </c>
      <c r="K11" s="34">
        <f t="shared" si="0"/>
        <v>10.541938011263284</v>
      </c>
      <c r="L11" s="34">
        <f t="shared" si="1"/>
        <v>77.7385879323644</v>
      </c>
      <c r="M11" s="34">
        <f t="shared" si="2"/>
        <v>24.06908275225109</v>
      </c>
    </row>
    <row r="12" spans="2:13" ht="13.5" customHeight="1">
      <c r="B12" s="32" t="s">
        <v>22</v>
      </c>
      <c r="C12" s="24">
        <f>302511578.01</f>
        <v>302511578.01</v>
      </c>
      <c r="D12" s="62">
        <f>234354674.89</f>
        <v>234354674.89</v>
      </c>
      <c r="E12" s="24">
        <f>234300921.13</f>
        <v>234300921.13</v>
      </c>
      <c r="F12" s="24">
        <f>962470.15</f>
        <v>962470.15</v>
      </c>
      <c r="G12" s="24">
        <f>441856.53</f>
        <v>441856.53</v>
      </c>
      <c r="H12" s="24">
        <f>77464.45</f>
        <v>77464.45</v>
      </c>
      <c r="I12" s="24">
        <f>36149.24</f>
        <v>36149.24</v>
      </c>
      <c r="J12" s="24">
        <f>185.24</f>
        <v>185.24</v>
      </c>
      <c r="K12" s="34">
        <f t="shared" si="0"/>
        <v>0.20205024463651552</v>
      </c>
      <c r="L12" s="34">
        <f t="shared" si="1"/>
        <v>77.46965469277114</v>
      </c>
      <c r="M12" s="34">
        <f t="shared" si="2"/>
        <v>0.4613159414400784</v>
      </c>
    </row>
    <row r="13" spans="2:13" ht="22.5" customHeight="1">
      <c r="B13" s="32" t="s">
        <v>23</v>
      </c>
      <c r="C13" s="24">
        <f>861149682.98</f>
        <v>861149682.98</v>
      </c>
      <c r="D13" s="62">
        <f>780209133.81</f>
        <v>780209133.81</v>
      </c>
      <c r="E13" s="24">
        <f>779647856.93</f>
        <v>779647856.93</v>
      </c>
      <c r="F13" s="24">
        <f>661749746</f>
        <v>661749746</v>
      </c>
      <c r="G13" s="24">
        <f>2426443.14</f>
        <v>2426443.14</v>
      </c>
      <c r="H13" s="24">
        <f>4750303.04</f>
        <v>4750303.04</v>
      </c>
      <c r="I13" s="24">
        <f>4772535.21</f>
        <v>4772535.21</v>
      </c>
      <c r="J13" s="24">
        <f>30830.84</f>
        <v>30830.84</v>
      </c>
      <c r="K13" s="34">
        <f t="shared" si="0"/>
        <v>0.6726618379938322</v>
      </c>
      <c r="L13" s="34">
        <f t="shared" si="1"/>
        <v>90.6008733708284</v>
      </c>
      <c r="M13" s="34">
        <f t="shared" si="2"/>
        <v>1.5358042729578436</v>
      </c>
    </row>
    <row r="14" spans="2:13" ht="33" customHeight="1">
      <c r="B14" s="32" t="s">
        <v>46</v>
      </c>
      <c r="C14" s="24">
        <f>53184676.04</f>
        <v>53184676.04</v>
      </c>
      <c r="D14" s="62">
        <f>63823337.69</f>
        <v>63823337.69</v>
      </c>
      <c r="E14" s="24">
        <f>63637205.55</f>
        <v>63637205.55</v>
      </c>
      <c r="F14" s="24">
        <f>0</f>
        <v>0</v>
      </c>
      <c r="G14" s="24">
        <f>0</f>
        <v>0</v>
      </c>
      <c r="H14" s="24">
        <f>46917.63</f>
        <v>46917.63</v>
      </c>
      <c r="I14" s="24">
        <f>127739.63</f>
        <v>127739.63</v>
      </c>
      <c r="J14" s="24">
        <f>0</f>
        <v>0</v>
      </c>
      <c r="K14" s="34">
        <f t="shared" si="0"/>
        <v>0.055025661424660144</v>
      </c>
      <c r="L14" s="34">
        <f t="shared" si="1"/>
        <v>120.00324612675783</v>
      </c>
      <c r="M14" s="34">
        <f t="shared" si="2"/>
        <v>0.1256331802475459</v>
      </c>
    </row>
    <row r="15" spans="2:13" ht="22.5" customHeight="1">
      <c r="B15" s="32" t="s">
        <v>28</v>
      </c>
      <c r="C15" s="24">
        <f>132604873.78</f>
        <v>132604873.78</v>
      </c>
      <c r="D15" s="62">
        <f>134449606.69</f>
        <v>134449606.69</v>
      </c>
      <c r="E15" s="24">
        <f>133201930.09</f>
        <v>133201930.09</v>
      </c>
      <c r="F15" s="24">
        <f>0</f>
        <v>0</v>
      </c>
      <c r="G15" s="24">
        <f>0</f>
        <v>0</v>
      </c>
      <c r="H15" s="24">
        <f>2963426.59</f>
        <v>2963426.59</v>
      </c>
      <c r="I15" s="24">
        <f>4175907.8</f>
        <v>4175907.8</v>
      </c>
      <c r="J15" s="24">
        <f>0</f>
        <v>0</v>
      </c>
      <c r="K15" s="34">
        <f t="shared" si="0"/>
        <v>0.11591650960557373</v>
      </c>
      <c r="L15" s="34">
        <f t="shared" si="1"/>
        <v>101.39115015716581</v>
      </c>
      <c r="M15" s="34">
        <f t="shared" si="2"/>
        <v>0.26465760461385274</v>
      </c>
    </row>
    <row r="16" spans="2:13" ht="22.5" customHeight="1">
      <c r="B16" s="32" t="s">
        <v>29</v>
      </c>
      <c r="C16" s="24">
        <f>1331152394.86</f>
        <v>1331152394.86</v>
      </c>
      <c r="D16" s="62">
        <f>1475802206.22</f>
        <v>1475802206.22</v>
      </c>
      <c r="E16" s="24">
        <f>1472716324.8</f>
        <v>1472716324.8</v>
      </c>
      <c r="F16" s="24">
        <f>0</f>
        <v>0</v>
      </c>
      <c r="G16" s="24">
        <f>0</f>
        <v>0</v>
      </c>
      <c r="H16" s="24">
        <f>117474.19</f>
        <v>117474.19</v>
      </c>
      <c r="I16" s="24">
        <f>563290.53</f>
        <v>563290.53</v>
      </c>
      <c r="J16" s="24">
        <f>0</f>
        <v>0</v>
      </c>
      <c r="K16" s="34">
        <f t="shared" si="0"/>
        <v>1.2723714470036547</v>
      </c>
      <c r="L16" s="34">
        <f t="shared" si="1"/>
        <v>110.86651024469766</v>
      </c>
      <c r="M16" s="34">
        <f t="shared" si="2"/>
        <v>2.9050458859473536</v>
      </c>
    </row>
    <row r="17" spans="2:13" ht="13.5" customHeight="1">
      <c r="B17" s="32" t="s">
        <v>30</v>
      </c>
      <c r="C17" s="24">
        <f>178986479.16</f>
        <v>178986479.16</v>
      </c>
      <c r="D17" s="62">
        <f>161981759.34</f>
        <v>161981759.34</v>
      </c>
      <c r="E17" s="24">
        <f>161878316.14</f>
        <v>161878316.14</v>
      </c>
      <c r="F17" s="24">
        <f>0</f>
        <v>0</v>
      </c>
      <c r="G17" s="24">
        <f>0</f>
        <v>0</v>
      </c>
      <c r="H17" s="24">
        <f>287</f>
        <v>287</v>
      </c>
      <c r="I17" s="24">
        <f>4121</f>
        <v>4121</v>
      </c>
      <c r="J17" s="24">
        <f>0</f>
        <v>0</v>
      </c>
      <c r="K17" s="34">
        <f t="shared" si="0"/>
        <v>0.1396535149839109</v>
      </c>
      <c r="L17" s="34">
        <f t="shared" si="1"/>
        <v>90.49943889627602</v>
      </c>
      <c r="M17" s="34">
        <f t="shared" si="2"/>
        <v>0.318853327082663</v>
      </c>
    </row>
    <row r="18" spans="2:13" ht="22.5" customHeight="1">
      <c r="B18" s="32" t="s">
        <v>31</v>
      </c>
      <c r="C18" s="24">
        <f>398784236.56</f>
        <v>398784236.56</v>
      </c>
      <c r="D18" s="62">
        <f>374298394.72</f>
        <v>374298394.72</v>
      </c>
      <c r="E18" s="24">
        <f>374122249.7</f>
        <v>374122249.7</v>
      </c>
      <c r="F18" s="24">
        <f>0</f>
        <v>0</v>
      </c>
      <c r="G18" s="24">
        <f>0</f>
        <v>0</v>
      </c>
      <c r="H18" s="24">
        <f>2639.89</f>
        <v>2639.89</v>
      </c>
      <c r="I18" s="24">
        <f>138666.34</f>
        <v>138666.34</v>
      </c>
      <c r="J18" s="24">
        <f>0</f>
        <v>0</v>
      </c>
      <c r="K18" s="34">
        <f t="shared" si="0"/>
        <v>0.3227035358084</v>
      </c>
      <c r="L18" s="34">
        <f t="shared" si="1"/>
        <v>93.8598771979504</v>
      </c>
      <c r="M18" s="34">
        <f t="shared" si="2"/>
        <v>0.7367884443560326</v>
      </c>
    </row>
    <row r="19" spans="2:13" ht="13.5" customHeight="1">
      <c r="B19" s="32" t="s">
        <v>32</v>
      </c>
      <c r="C19" s="24">
        <f>3315600.98</f>
        <v>3315600.98</v>
      </c>
      <c r="D19" s="62">
        <f>1379647.4</f>
        <v>1379647.4</v>
      </c>
      <c r="E19" s="24">
        <f>1386003.4</f>
        <v>1386003.4</v>
      </c>
      <c r="F19" s="24">
        <f>62383.97</f>
        <v>62383.97</v>
      </c>
      <c r="G19" s="24">
        <f>0</f>
        <v>0</v>
      </c>
      <c r="H19" s="24">
        <f>3300</f>
        <v>3300</v>
      </c>
      <c r="I19" s="24">
        <f>127803.03</f>
        <v>127803.03</v>
      </c>
      <c r="J19" s="24">
        <f>0</f>
        <v>0</v>
      </c>
      <c r="K19" s="34">
        <f t="shared" si="0"/>
        <v>0.0011894710221290632</v>
      </c>
      <c r="L19" s="34">
        <f t="shared" si="1"/>
        <v>41.610779111303074</v>
      </c>
      <c r="M19" s="34">
        <f t="shared" si="2"/>
        <v>0.0027157697600233115</v>
      </c>
    </row>
    <row r="20" spans="2:13" ht="13.5" customHeight="1">
      <c r="B20" s="32" t="s">
        <v>24</v>
      </c>
      <c r="C20" s="24">
        <f>4174688729.57</f>
        <v>4174688729.57</v>
      </c>
      <c r="D20" s="62">
        <f>2998154972.58</f>
        <v>2998154972.58</v>
      </c>
      <c r="E20" s="24">
        <f>2996608028.08</f>
        <v>2996608028.08</v>
      </c>
      <c r="F20" s="24">
        <f>0</f>
        <v>0</v>
      </c>
      <c r="G20" s="24">
        <f>254652.6</f>
        <v>254652.6</v>
      </c>
      <c r="H20" s="24">
        <f>0</f>
        <v>0</v>
      </c>
      <c r="I20" s="24">
        <f>105760.7</f>
        <v>105760.7</v>
      </c>
      <c r="J20" s="24">
        <f>0</f>
        <v>0</v>
      </c>
      <c r="K20" s="34">
        <f t="shared" si="0"/>
        <v>2.584876729906544</v>
      </c>
      <c r="L20" s="34">
        <f t="shared" si="1"/>
        <v>71.81744955842049</v>
      </c>
      <c r="M20" s="34">
        <f t="shared" si="2"/>
        <v>5.901724317674417</v>
      </c>
    </row>
    <row r="21" spans="2:13" ht="13.5" customHeight="1">
      <c r="B21" s="32" t="s">
        <v>25</v>
      </c>
      <c r="C21" s="24">
        <f>C7-C8-C9-C10-C11-C12-C13-C14-C15-C16-C17-C18-C19-C20</f>
        <v>16354075195.569988</v>
      </c>
      <c r="D21" s="24">
        <f aca="true" t="shared" si="3" ref="D21:J21">D7-D8-D9-D10-D11-D12-D13-D14-D15-D16-D17-D18-D19-D20</f>
        <v>11832465490.810007</v>
      </c>
      <c r="E21" s="24">
        <f t="shared" si="3"/>
        <v>11764344536.43</v>
      </c>
      <c r="F21" s="24">
        <f t="shared" si="3"/>
        <v>3911904.740000157</v>
      </c>
      <c r="G21" s="24">
        <f t="shared" si="3"/>
        <v>98515191.81000005</v>
      </c>
      <c r="H21" s="24">
        <f t="shared" si="3"/>
        <v>7759357.840000011</v>
      </c>
      <c r="I21" s="24">
        <f t="shared" si="3"/>
        <v>6910267.549999986</v>
      </c>
      <c r="J21" s="24">
        <f t="shared" si="3"/>
        <v>294674.92999999976</v>
      </c>
      <c r="K21" s="34">
        <f t="shared" si="0"/>
        <v>10.201428873537287</v>
      </c>
      <c r="L21" s="34">
        <f t="shared" si="1"/>
        <v>72.35178601854051</v>
      </c>
      <c r="M21" s="34">
        <f t="shared" si="2"/>
        <v>23.29164101382803</v>
      </c>
    </row>
    <row r="22" spans="2:13" ht="26.25" customHeight="1">
      <c r="B22" s="80" t="s">
        <v>69</v>
      </c>
      <c r="C22" s="49">
        <f>C23+C38+C40</f>
        <v>52967297269.56001</v>
      </c>
      <c r="D22" s="49">
        <f>D23+D38+D40</f>
        <v>38296019768.71</v>
      </c>
      <c r="E22" s="49">
        <f>E23+E38+E40</f>
        <v>38176720188.3</v>
      </c>
      <c r="F22" s="41" t="s">
        <v>60</v>
      </c>
      <c r="G22" s="41" t="s">
        <v>60</v>
      </c>
      <c r="H22" s="41" t="s">
        <v>60</v>
      </c>
      <c r="I22" s="41" t="s">
        <v>60</v>
      </c>
      <c r="J22" s="41" t="s">
        <v>60</v>
      </c>
      <c r="K22" s="50">
        <f t="shared" si="0"/>
        <v>33.017135956449664</v>
      </c>
      <c r="L22" s="50">
        <f t="shared" si="1"/>
        <v>72.30125330695039</v>
      </c>
      <c r="M22" s="28"/>
    </row>
    <row r="23" spans="2:13" ht="25.5" customHeight="1">
      <c r="B23" s="80" t="s">
        <v>62</v>
      </c>
      <c r="C23" s="49">
        <f>C24+C26+C28+C30+C32+C34+C36</f>
        <v>45011052718.11001</v>
      </c>
      <c r="D23" s="49">
        <f>D24+D26+D28+D30+D32+D34+D36</f>
        <v>35269654795.35</v>
      </c>
      <c r="E23" s="49">
        <f>E24+E26+E28+E30+E32+E34+E36</f>
        <v>35164379946.79</v>
      </c>
      <c r="F23" s="41" t="s">
        <v>60</v>
      </c>
      <c r="G23" s="41" t="s">
        <v>60</v>
      </c>
      <c r="H23" s="41" t="s">
        <v>60</v>
      </c>
      <c r="I23" s="41" t="s">
        <v>60</v>
      </c>
      <c r="J23" s="41" t="s">
        <v>60</v>
      </c>
      <c r="K23" s="50">
        <f t="shared" si="0"/>
        <v>30.407937810460975</v>
      </c>
      <c r="L23" s="50">
        <f t="shared" si="1"/>
        <v>78.35776473888023</v>
      </c>
      <c r="M23" s="28"/>
    </row>
    <row r="24" spans="2:13" ht="22.5" customHeight="1">
      <c r="B24" s="32" t="s">
        <v>9</v>
      </c>
      <c r="C24" s="24">
        <f>38575430846.77</f>
        <v>38575430846.77</v>
      </c>
      <c r="D24" s="24">
        <f>30390064671.33</f>
        <v>30390064671.33</v>
      </c>
      <c r="E24" s="24">
        <f>30381465045.69</f>
        <v>30381465045.69</v>
      </c>
      <c r="F24" s="24" t="s">
        <v>60</v>
      </c>
      <c r="G24" s="24" t="s">
        <v>60</v>
      </c>
      <c r="H24" s="24" t="s">
        <v>60</v>
      </c>
      <c r="I24" s="24" t="s">
        <v>60</v>
      </c>
      <c r="J24" s="24" t="s">
        <v>60</v>
      </c>
      <c r="K24" s="34">
        <f t="shared" si="0"/>
        <v>26.200970832964444</v>
      </c>
      <c r="L24" s="34">
        <f t="shared" si="1"/>
        <v>78.78088203874105</v>
      </c>
      <c r="M24" s="28"/>
    </row>
    <row r="25" spans="2:13" ht="13.5" customHeight="1">
      <c r="B25" s="63" t="s">
        <v>6</v>
      </c>
      <c r="C25" s="24">
        <f>18048410.99</f>
        <v>18048410.99</v>
      </c>
      <c r="D25" s="24">
        <f>9119776.42</f>
        <v>9119776.42</v>
      </c>
      <c r="E25" s="24">
        <f>9119776.42</f>
        <v>9119776.42</v>
      </c>
      <c r="F25" s="24" t="s">
        <v>60</v>
      </c>
      <c r="G25" s="24" t="s">
        <v>60</v>
      </c>
      <c r="H25" s="24" t="s">
        <v>60</v>
      </c>
      <c r="I25" s="24" t="s">
        <v>60</v>
      </c>
      <c r="J25" s="24" t="s">
        <v>60</v>
      </c>
      <c r="K25" s="34">
        <f t="shared" si="0"/>
        <v>0.007862668229495398</v>
      </c>
      <c r="L25" s="34">
        <f t="shared" si="1"/>
        <v>50.52952542499699</v>
      </c>
      <c r="M25" s="28"/>
    </row>
    <row r="26" spans="2:13" ht="13.5" customHeight="1">
      <c r="B26" s="32" t="s">
        <v>7</v>
      </c>
      <c r="C26" s="24">
        <f>3702202159.08</f>
        <v>3702202159.08</v>
      </c>
      <c r="D26" s="24">
        <f>2549553859.46</f>
        <v>2549553859.46</v>
      </c>
      <c r="E26" s="24">
        <f>2545259092.95</f>
        <v>2545259092.95</v>
      </c>
      <c r="F26" s="24" t="s">
        <v>60</v>
      </c>
      <c r="G26" s="24" t="s">
        <v>60</v>
      </c>
      <c r="H26" s="24" t="s">
        <v>60</v>
      </c>
      <c r="I26" s="24" t="s">
        <v>60</v>
      </c>
      <c r="J26" s="24" t="s">
        <v>60</v>
      </c>
      <c r="K26" s="34">
        <f t="shared" si="0"/>
        <v>2.1981126737056034</v>
      </c>
      <c r="L26" s="34">
        <f t="shared" si="1"/>
        <v>68.86587360463228</v>
      </c>
      <c r="M26" s="28"/>
    </row>
    <row r="27" spans="2:13" ht="13.5" customHeight="1">
      <c r="B27" s="63" t="s">
        <v>6</v>
      </c>
      <c r="C27" s="24">
        <f>490703083.41</f>
        <v>490703083.41</v>
      </c>
      <c r="D27" s="24">
        <f>180358380.96</f>
        <v>180358380.96</v>
      </c>
      <c r="E27" s="24">
        <f>180338310.31</f>
        <v>180338310.31</v>
      </c>
      <c r="F27" s="24" t="s">
        <v>60</v>
      </c>
      <c r="G27" s="24" t="s">
        <v>60</v>
      </c>
      <c r="H27" s="24" t="s">
        <v>60</v>
      </c>
      <c r="I27" s="24" t="s">
        <v>60</v>
      </c>
      <c r="J27" s="24" t="s">
        <v>60</v>
      </c>
      <c r="K27" s="34">
        <f t="shared" si="0"/>
        <v>0.1554970260879948</v>
      </c>
      <c r="L27" s="34">
        <f t="shared" si="1"/>
        <v>36.75509428362489</v>
      </c>
      <c r="M27" s="28"/>
    </row>
    <row r="28" spans="2:13" ht="33" customHeight="1">
      <c r="B28" s="32" t="s">
        <v>10</v>
      </c>
      <c r="C28" s="24">
        <f>31209283.39</f>
        <v>31209283.39</v>
      </c>
      <c r="D28" s="24">
        <f>18636547.17</f>
        <v>18636547.17</v>
      </c>
      <c r="E28" s="24">
        <f>18628802.44</f>
        <v>18628802.44</v>
      </c>
      <c r="F28" s="24" t="s">
        <v>60</v>
      </c>
      <c r="G28" s="24" t="s">
        <v>60</v>
      </c>
      <c r="H28" s="24" t="s">
        <v>60</v>
      </c>
      <c r="I28" s="24" t="s">
        <v>60</v>
      </c>
      <c r="J28" s="24" t="s">
        <v>60</v>
      </c>
      <c r="K28" s="34">
        <f t="shared" si="0"/>
        <v>0.016067607427271927</v>
      </c>
      <c r="L28" s="34">
        <f t="shared" si="1"/>
        <v>59.714755180734066</v>
      </c>
      <c r="M28" s="28"/>
    </row>
    <row r="29" spans="2:13" ht="13.5" customHeight="1">
      <c r="B29" s="63" t="s">
        <v>6</v>
      </c>
      <c r="C29" s="24">
        <f>11268678.48</f>
        <v>11268678.48</v>
      </c>
      <c r="D29" s="24">
        <f>5251583.71</f>
        <v>5251583.71</v>
      </c>
      <c r="E29" s="24">
        <f>5251583.71</f>
        <v>5251583.71</v>
      </c>
      <c r="F29" s="24" t="s">
        <v>60</v>
      </c>
      <c r="G29" s="24" t="s">
        <v>60</v>
      </c>
      <c r="H29" s="24" t="s">
        <v>60</v>
      </c>
      <c r="I29" s="24" t="s">
        <v>60</v>
      </c>
      <c r="J29" s="24" t="s">
        <v>60</v>
      </c>
      <c r="K29" s="34">
        <f t="shared" si="0"/>
        <v>0.004527683409058023</v>
      </c>
      <c r="L29" s="34">
        <f t="shared" si="1"/>
        <v>46.60336808189774</v>
      </c>
      <c r="M29" s="28"/>
    </row>
    <row r="30" spans="2:13" ht="33.75">
      <c r="B30" s="32" t="s">
        <v>11</v>
      </c>
      <c r="C30" s="24">
        <f>619696113.94</f>
        <v>619696113.94</v>
      </c>
      <c r="D30" s="24">
        <f>329250653.27</f>
        <v>329250653.27</v>
      </c>
      <c r="E30" s="24">
        <f>328940807.58</f>
        <v>328940807.58</v>
      </c>
      <c r="F30" s="24" t="s">
        <v>60</v>
      </c>
      <c r="G30" s="24" t="s">
        <v>60</v>
      </c>
      <c r="H30" s="24" t="s">
        <v>60</v>
      </c>
      <c r="I30" s="24" t="s">
        <v>60</v>
      </c>
      <c r="J30" s="24" t="s">
        <v>60</v>
      </c>
      <c r="K30" s="34">
        <f t="shared" si="0"/>
        <v>0.2838653637746345</v>
      </c>
      <c r="L30" s="34">
        <f t="shared" si="1"/>
        <v>53.13098563369054</v>
      </c>
      <c r="M30" s="28"/>
    </row>
    <row r="31" spans="2:13" ht="12.75">
      <c r="B31" s="63" t="s">
        <v>6</v>
      </c>
      <c r="C31" s="24">
        <f>277716643.96</f>
        <v>277716643.96</v>
      </c>
      <c r="D31" s="24">
        <f>82488514.23</f>
        <v>82488514.23</v>
      </c>
      <c r="E31" s="24">
        <f>82366448.94</f>
        <v>82366448.94</v>
      </c>
      <c r="F31" s="24" t="s">
        <v>60</v>
      </c>
      <c r="G31" s="24" t="s">
        <v>60</v>
      </c>
      <c r="H31" s="24" t="s">
        <v>60</v>
      </c>
      <c r="I31" s="24" t="s">
        <v>60</v>
      </c>
      <c r="J31" s="24" t="s">
        <v>60</v>
      </c>
      <c r="K31" s="34">
        <f t="shared" si="0"/>
        <v>0.07111795182962391</v>
      </c>
      <c r="L31" s="34">
        <f t="shared" si="1"/>
        <v>29.702402079250593</v>
      </c>
      <c r="M31" s="28"/>
    </row>
    <row r="32" spans="2:13" ht="45">
      <c r="B32" s="32" t="s">
        <v>79</v>
      </c>
      <c r="C32" s="24">
        <f>454441754.3</f>
        <v>454441754.3</v>
      </c>
      <c r="D32" s="24">
        <f>233568478.54</f>
        <v>233568478.54</v>
      </c>
      <c r="E32" s="24">
        <f>233492595.42</f>
        <v>233492595.42</v>
      </c>
      <c r="F32" s="24" t="s">
        <v>60</v>
      </c>
      <c r="G32" s="24" t="s">
        <v>60</v>
      </c>
      <c r="H32" s="24" t="s">
        <v>60</v>
      </c>
      <c r="I32" s="24" t="s">
        <v>60</v>
      </c>
      <c r="J32" s="24" t="s">
        <v>60</v>
      </c>
      <c r="K32" s="34">
        <f t="shared" si="0"/>
        <v>0.20137242088529572</v>
      </c>
      <c r="L32" s="34">
        <f t="shared" si="1"/>
        <v>51.39679097044626</v>
      </c>
      <c r="M32" s="28"/>
    </row>
    <row r="33" spans="2:13" ht="12.75">
      <c r="B33" s="63" t="s">
        <v>6</v>
      </c>
      <c r="C33" s="24">
        <f>389991638.87</f>
        <v>389991638.87</v>
      </c>
      <c r="D33" s="24">
        <f>189899996.06</f>
        <v>189899996.06</v>
      </c>
      <c r="E33" s="24">
        <f>189899905.31</f>
        <v>189899905.31</v>
      </c>
      <c r="F33" s="24" t="s">
        <v>60</v>
      </c>
      <c r="G33" s="24" t="s">
        <v>60</v>
      </c>
      <c r="H33" s="24" t="s">
        <v>60</v>
      </c>
      <c r="I33" s="24" t="s">
        <v>60</v>
      </c>
      <c r="J33" s="24" t="s">
        <v>60</v>
      </c>
      <c r="K33" s="34">
        <f t="shared" si="0"/>
        <v>0.1637233849864779</v>
      </c>
      <c r="L33" s="34">
        <f t="shared" si="1"/>
        <v>48.693350608806604</v>
      </c>
      <c r="M33" s="28"/>
    </row>
    <row r="34" spans="2:13" ht="22.5">
      <c r="B34" s="32" t="s">
        <v>8</v>
      </c>
      <c r="C34" s="24">
        <f>319310455.98</f>
        <v>319310455.98</v>
      </c>
      <c r="D34" s="24">
        <f>116596455.93</f>
        <v>116596455.93</v>
      </c>
      <c r="E34" s="24">
        <f>115688900.7</f>
        <v>115688900.7</v>
      </c>
      <c r="F34" s="24" t="s">
        <v>60</v>
      </c>
      <c r="G34" s="24" t="s">
        <v>60</v>
      </c>
      <c r="H34" s="24" t="s">
        <v>60</v>
      </c>
      <c r="I34" s="24" t="s">
        <v>60</v>
      </c>
      <c r="J34" s="24" t="s">
        <v>60</v>
      </c>
      <c r="K34" s="34">
        <f t="shared" si="0"/>
        <v>0.100524311944982</v>
      </c>
      <c r="L34" s="34">
        <f t="shared" si="1"/>
        <v>36.5150760792196</v>
      </c>
      <c r="M34" s="28"/>
    </row>
    <row r="35" spans="2:13" ht="12.75">
      <c r="B35" s="31" t="s">
        <v>6</v>
      </c>
      <c r="C35" s="22">
        <f>286487277.96</f>
        <v>286487277.96</v>
      </c>
      <c r="D35" s="22">
        <f>93311355.45</f>
        <v>93311355.45</v>
      </c>
      <c r="E35" s="22">
        <f>92435280.45</f>
        <v>92435280.45</v>
      </c>
      <c r="F35" s="24" t="s">
        <v>60</v>
      </c>
      <c r="G35" s="24" t="s">
        <v>60</v>
      </c>
      <c r="H35" s="24" t="s">
        <v>60</v>
      </c>
      <c r="I35" s="24" t="s">
        <v>60</v>
      </c>
      <c r="J35" s="24" t="s">
        <v>60</v>
      </c>
      <c r="K35" s="34">
        <f t="shared" si="0"/>
        <v>0.0804489272718231</v>
      </c>
      <c r="L35" s="34">
        <f t="shared" si="1"/>
        <v>32.57085484369339</v>
      </c>
      <c r="M35" s="28"/>
    </row>
    <row r="36" spans="2:13" ht="45">
      <c r="B36" s="86" t="s">
        <v>103</v>
      </c>
      <c r="C36" s="22">
        <f>1308762104.65</f>
        <v>1308762104.65</v>
      </c>
      <c r="D36" s="22">
        <f>1631984129.65</f>
        <v>1631984129.65</v>
      </c>
      <c r="E36" s="22">
        <f>1540904702.01</f>
        <v>1540904702.01</v>
      </c>
      <c r="F36" s="24" t="s">
        <v>60</v>
      </c>
      <c r="G36" s="24" t="s">
        <v>60</v>
      </c>
      <c r="H36" s="24" t="s">
        <v>60</v>
      </c>
      <c r="I36" s="24" t="s">
        <v>60</v>
      </c>
      <c r="J36" s="24" t="s">
        <v>60</v>
      </c>
      <c r="K36" s="34">
        <f t="shared" si="0"/>
        <v>1.4070245997587463</v>
      </c>
      <c r="L36" s="34">
        <f t="shared" si="1"/>
        <v>124.69677444446167</v>
      </c>
      <c r="M36" s="28"/>
    </row>
    <row r="37" spans="2:13" ht="12.75">
      <c r="B37" s="31" t="s">
        <v>6</v>
      </c>
      <c r="C37" s="22">
        <f>1232791002.22</f>
        <v>1232791002.22</v>
      </c>
      <c r="D37" s="22">
        <f>1572446440.93</f>
        <v>1572446440.93</v>
      </c>
      <c r="E37" s="22">
        <f>1481302170.79</f>
        <v>1481302170.79</v>
      </c>
      <c r="F37" s="24" t="s">
        <v>60</v>
      </c>
      <c r="G37" s="24" t="s">
        <v>60</v>
      </c>
      <c r="H37" s="24" t="s">
        <v>60</v>
      </c>
      <c r="I37" s="24" t="s">
        <v>60</v>
      </c>
      <c r="J37" s="24" t="s">
        <v>60</v>
      </c>
      <c r="K37" s="34">
        <f t="shared" si="0"/>
        <v>1.355693835494645</v>
      </c>
      <c r="L37" s="34">
        <f t="shared" si="1"/>
        <v>127.55174543765742</v>
      </c>
      <c r="M37" s="28"/>
    </row>
    <row r="38" spans="2:13" ht="12.75">
      <c r="B38" s="80" t="s">
        <v>97</v>
      </c>
      <c r="C38" s="49">
        <f>1103593959.26</f>
        <v>1103593959.26</v>
      </c>
      <c r="D38" s="49">
        <f>399603348.54</f>
        <v>399603348.54</v>
      </c>
      <c r="E38" s="49">
        <f>397598996.92</f>
        <v>397598996.92</v>
      </c>
      <c r="F38" s="41" t="s">
        <v>60</v>
      </c>
      <c r="G38" s="41" t="s">
        <v>60</v>
      </c>
      <c r="H38" s="41" t="s">
        <v>60</v>
      </c>
      <c r="I38" s="41" t="s">
        <v>60</v>
      </c>
      <c r="J38" s="41" t="s">
        <v>60</v>
      </c>
      <c r="K38" s="50">
        <f t="shared" si="0"/>
        <v>0.34452034877467247</v>
      </c>
      <c r="L38" s="50">
        <f t="shared" si="1"/>
        <v>36.20927291120265</v>
      </c>
      <c r="M38" s="28"/>
    </row>
    <row r="39" spans="2:13" ht="13.5" customHeight="1">
      <c r="B39" s="31" t="s">
        <v>98</v>
      </c>
      <c r="C39" s="22">
        <f>995773216.39</f>
        <v>995773216.39</v>
      </c>
      <c r="D39" s="22">
        <f>337047086.31</f>
        <v>337047086.31</v>
      </c>
      <c r="E39" s="22">
        <f>335277160.17</f>
        <v>335277160.17</v>
      </c>
      <c r="F39" s="24" t="s">
        <v>60</v>
      </c>
      <c r="G39" s="24" t="s">
        <v>60</v>
      </c>
      <c r="H39" s="24" t="s">
        <v>60</v>
      </c>
      <c r="I39" s="24" t="s">
        <v>60</v>
      </c>
      <c r="J39" s="24" t="s">
        <v>60</v>
      </c>
      <c r="K39" s="34">
        <f t="shared" si="0"/>
        <v>0.29058710381998926</v>
      </c>
      <c r="L39" s="34">
        <f t="shared" si="1"/>
        <v>33.847775855219794</v>
      </c>
      <c r="M39" s="28"/>
    </row>
    <row r="40" spans="2:13" ht="13.5" customHeight="1">
      <c r="B40" s="80" t="s">
        <v>99</v>
      </c>
      <c r="C40" s="41">
        <f>6852650592.19</f>
        <v>6852650592.19</v>
      </c>
      <c r="D40" s="41">
        <f>2626761624.82</f>
        <v>2626761624.82</v>
      </c>
      <c r="E40" s="41">
        <f>2614741244.59</f>
        <v>2614741244.59</v>
      </c>
      <c r="F40" s="41" t="s">
        <v>60</v>
      </c>
      <c r="G40" s="41" t="s">
        <v>60</v>
      </c>
      <c r="H40" s="41" t="s">
        <v>60</v>
      </c>
      <c r="I40" s="41" t="s">
        <v>60</v>
      </c>
      <c r="J40" s="41" t="s">
        <v>60</v>
      </c>
      <c r="K40" s="64">
        <f t="shared" si="0"/>
        <v>2.264677797214016</v>
      </c>
      <c r="L40" s="64">
        <f t="shared" si="1"/>
        <v>38.33205253181497</v>
      </c>
      <c r="M40" s="28"/>
    </row>
    <row r="41" spans="2:13" ht="13.5" customHeight="1">
      <c r="B41" s="31" t="s">
        <v>100</v>
      </c>
      <c r="C41" s="22">
        <f>6041938520.2</f>
        <v>6041938520.2</v>
      </c>
      <c r="D41" s="22">
        <f>2098270956.04</f>
        <v>2098270956.04</v>
      </c>
      <c r="E41" s="22">
        <f>2089901569.83</f>
        <v>2089901569.83</v>
      </c>
      <c r="F41" s="24" t="s">
        <v>60</v>
      </c>
      <c r="G41" s="24" t="s">
        <v>60</v>
      </c>
      <c r="H41" s="24" t="s">
        <v>60</v>
      </c>
      <c r="I41" s="24" t="s">
        <v>60</v>
      </c>
      <c r="J41" s="24" t="s">
        <v>60</v>
      </c>
      <c r="K41" s="34">
        <f t="shared" si="0"/>
        <v>1.8090364964154069</v>
      </c>
      <c r="L41" s="34">
        <f t="shared" si="1"/>
        <v>34.72843937462878</v>
      </c>
      <c r="M41" s="28"/>
    </row>
    <row r="42" spans="2:13" s="5" customFormat="1" ht="25.5" customHeight="1">
      <c r="B42" s="80" t="s">
        <v>63</v>
      </c>
      <c r="C42" s="25">
        <f>C43+C44+C45+C46+C47</f>
        <v>32817281854</v>
      </c>
      <c r="D42" s="25">
        <f>D43+D44+D45+D46+D47</f>
        <v>26890956652</v>
      </c>
      <c r="E42" s="25">
        <f>E43+E44+E45+E46+E47</f>
        <v>25171678686</v>
      </c>
      <c r="F42" s="23" t="s">
        <v>60</v>
      </c>
      <c r="G42" s="23" t="s">
        <v>60</v>
      </c>
      <c r="H42" s="23" t="s">
        <v>60</v>
      </c>
      <c r="I42" s="23" t="s">
        <v>60</v>
      </c>
      <c r="J42" s="23" t="s">
        <v>60</v>
      </c>
      <c r="K42" s="33">
        <f t="shared" si="0"/>
        <v>23.18419452309537</v>
      </c>
      <c r="L42" s="33">
        <f t="shared" si="1"/>
        <v>81.94145015310689</v>
      </c>
      <c r="M42" s="29"/>
    </row>
    <row r="43" spans="2:13" ht="13.5" customHeight="1">
      <c r="B43" s="20" t="s">
        <v>50</v>
      </c>
      <c r="C43" s="22">
        <f>9263472315</f>
        <v>9263472315</v>
      </c>
      <c r="D43" s="22">
        <f>6947355834</f>
        <v>6947355834</v>
      </c>
      <c r="E43" s="22">
        <f>6947394684</f>
        <v>6947394684</v>
      </c>
      <c r="F43" s="24" t="s">
        <v>60</v>
      </c>
      <c r="G43" s="24" t="s">
        <v>60</v>
      </c>
      <c r="H43" s="24" t="s">
        <v>60</v>
      </c>
      <c r="I43" s="24" t="s">
        <v>60</v>
      </c>
      <c r="J43" s="24" t="s">
        <v>60</v>
      </c>
      <c r="K43" s="34">
        <f t="shared" si="0"/>
        <v>5.989703198775492</v>
      </c>
      <c r="L43" s="34">
        <f t="shared" si="1"/>
        <v>74.99731847582036</v>
      </c>
      <c r="M43" s="28"/>
    </row>
    <row r="44" spans="2:13" ht="13.5" customHeight="1">
      <c r="B44" s="32" t="s">
        <v>49</v>
      </c>
      <c r="C44" s="24">
        <f>23217221124</f>
        <v>23217221124</v>
      </c>
      <c r="D44" s="24">
        <f>19691315338</f>
        <v>19691315338</v>
      </c>
      <c r="E44" s="24">
        <f>17971905373</f>
        <v>17971905373</v>
      </c>
      <c r="F44" s="24" t="s">
        <v>60</v>
      </c>
      <c r="G44" s="24" t="s">
        <v>60</v>
      </c>
      <c r="H44" s="24" t="s">
        <v>60</v>
      </c>
      <c r="I44" s="24" t="s">
        <v>60</v>
      </c>
      <c r="J44" s="24" t="s">
        <v>60</v>
      </c>
      <c r="K44" s="34">
        <f t="shared" si="0"/>
        <v>16.976981931873723</v>
      </c>
      <c r="L44" s="34">
        <f t="shared" si="1"/>
        <v>84.81340308916118</v>
      </c>
      <c r="M44" s="28"/>
    </row>
    <row r="45" spans="2:13" ht="13.5" customHeight="1">
      <c r="B45" s="32" t="s">
        <v>48</v>
      </c>
      <c r="C45" s="24">
        <f>0</f>
        <v>0</v>
      </c>
      <c r="D45" s="24">
        <f>0</f>
        <v>0</v>
      </c>
      <c r="E45" s="24">
        <f>0</f>
        <v>0</v>
      </c>
      <c r="F45" s="24" t="s">
        <v>60</v>
      </c>
      <c r="G45" s="24" t="s">
        <v>60</v>
      </c>
      <c r="H45" s="24" t="s">
        <v>60</v>
      </c>
      <c r="I45" s="24" t="s">
        <v>60</v>
      </c>
      <c r="J45" s="24" t="s">
        <v>60</v>
      </c>
      <c r="K45" s="34">
        <f t="shared" si="0"/>
        <v>0</v>
      </c>
      <c r="L45" s="34">
        <f t="shared" si="1"/>
      </c>
      <c r="M45" s="28"/>
    </row>
    <row r="46" spans="2:13" ht="13.5" customHeight="1">
      <c r="B46" s="32" t="s">
        <v>47</v>
      </c>
      <c r="C46" s="24">
        <f>336447475</f>
        <v>336447475</v>
      </c>
      <c r="D46" s="24">
        <f>252285480</f>
        <v>252285480</v>
      </c>
      <c r="E46" s="24">
        <f>252378629</f>
        <v>252378629</v>
      </c>
      <c r="F46" s="24" t="s">
        <v>60</v>
      </c>
      <c r="G46" s="24" t="s">
        <v>60</v>
      </c>
      <c r="H46" s="24" t="s">
        <v>60</v>
      </c>
      <c r="I46" s="24" t="s">
        <v>60</v>
      </c>
      <c r="J46" s="24" t="s">
        <v>60</v>
      </c>
      <c r="K46" s="34">
        <f t="shared" si="0"/>
        <v>0.21750939244615786</v>
      </c>
      <c r="L46" s="34">
        <f t="shared" si="1"/>
        <v>74.98510131484862</v>
      </c>
      <c r="M46" s="28"/>
    </row>
    <row r="47" spans="2:13" s="5" customFormat="1" ht="22.5" customHeight="1">
      <c r="B47" s="32" t="s">
        <v>45</v>
      </c>
      <c r="C47" s="24">
        <f>140940</f>
        <v>140940</v>
      </c>
      <c r="D47" s="24">
        <f>0</f>
        <v>0</v>
      </c>
      <c r="E47" s="24">
        <f>0</f>
        <v>0</v>
      </c>
      <c r="F47" s="24" t="s">
        <v>60</v>
      </c>
      <c r="G47" s="24" t="s">
        <v>60</v>
      </c>
      <c r="H47" s="24" t="s">
        <v>60</v>
      </c>
      <c r="I47" s="24" t="s">
        <v>60</v>
      </c>
      <c r="J47" s="24" t="s">
        <v>60</v>
      </c>
      <c r="K47" s="34">
        <f t="shared" si="0"/>
        <v>0</v>
      </c>
      <c r="L47" s="34">
        <f t="shared" si="1"/>
        <v>0</v>
      </c>
      <c r="M47" s="29"/>
    </row>
    <row r="48" spans="1:13" s="5" customFormat="1" ht="9" customHeight="1">
      <c r="A48" s="2"/>
      <c r="B48" s="21"/>
      <c r="C48" s="7"/>
      <c r="D48" s="8"/>
      <c r="E48" s="8"/>
      <c r="F48" s="16"/>
      <c r="G48" s="16"/>
      <c r="H48" s="16"/>
      <c r="I48" s="16"/>
      <c r="J48" s="16"/>
      <c r="K48" s="9"/>
      <c r="L48" s="9"/>
      <c r="M48" s="3"/>
    </row>
    <row r="49" spans="1:13" s="5" customFormat="1" ht="13.5" customHeight="1">
      <c r="A49" s="2"/>
      <c r="B49" s="80" t="s">
        <v>5</v>
      </c>
      <c r="C49" s="41">
        <f aca="true" t="shared" si="4" ref="C49:J49">+C6</f>
        <v>152055609497.63</v>
      </c>
      <c r="D49" s="41">
        <f t="shared" si="4"/>
        <v>115988315337.9</v>
      </c>
      <c r="E49" s="41">
        <f t="shared" si="4"/>
        <v>112641274998.57</v>
      </c>
      <c r="F49" s="41">
        <f t="shared" si="4"/>
        <v>2341148664.29</v>
      </c>
      <c r="G49" s="41">
        <f t="shared" si="4"/>
        <v>623923215.71</v>
      </c>
      <c r="H49" s="41">
        <f t="shared" si="4"/>
        <v>94430530.48</v>
      </c>
      <c r="I49" s="41">
        <f t="shared" si="4"/>
        <v>106384700.57</v>
      </c>
      <c r="J49" s="41">
        <f t="shared" si="4"/>
        <v>2347051.61</v>
      </c>
      <c r="K49" s="65">
        <f t="shared" si="0"/>
        <v>100</v>
      </c>
      <c r="L49" s="65">
        <f>IF(C49=0,"",100*D49/C49)</f>
        <v>76.28019493730538</v>
      </c>
      <c r="M49" s="65"/>
    </row>
    <row r="50" spans="1:13" s="5" customFormat="1" ht="13.5" customHeight="1">
      <c r="A50" s="2"/>
      <c r="B50" s="81" t="s">
        <v>71</v>
      </c>
      <c r="C50" s="24">
        <f>16205544388.72</f>
        <v>16205544388.72</v>
      </c>
      <c r="D50" s="24">
        <f>8946300540.60999</f>
        <v>8946300540.60999</v>
      </c>
      <c r="E50" s="24">
        <f>8792832385.41998</f>
        <v>8792832385.41998</v>
      </c>
      <c r="F50" s="24">
        <f>0</f>
        <v>0</v>
      </c>
      <c r="G50" s="24">
        <f>29161.43</f>
        <v>29161.43</v>
      </c>
      <c r="H50" s="24">
        <f>0</f>
        <v>0</v>
      </c>
      <c r="I50" s="24">
        <f>105760.7</f>
        <v>105760.7</v>
      </c>
      <c r="J50" s="24">
        <f>0</f>
        <v>0</v>
      </c>
      <c r="K50" s="38">
        <f t="shared" si="0"/>
        <v>7.713104992125636</v>
      </c>
      <c r="L50" s="38">
        <f>IF(C50=0,"",100*D50/C50)</f>
        <v>55.2051836458955</v>
      </c>
      <c r="M50" s="38"/>
    </row>
    <row r="51" spans="1:13" s="5" customFormat="1" ht="13.5" customHeight="1">
      <c r="A51" s="2"/>
      <c r="B51" s="81" t="s">
        <v>72</v>
      </c>
      <c r="C51" s="24">
        <f>C49-C50</f>
        <v>135850065108.91</v>
      </c>
      <c r="D51" s="24">
        <f aca="true" t="shared" si="5" ref="D51:J51">D49-D50</f>
        <v>107042014797.29001</v>
      </c>
      <c r="E51" s="24">
        <f t="shared" si="5"/>
        <v>103848442613.15002</v>
      </c>
      <c r="F51" s="24">
        <f t="shared" si="5"/>
        <v>2341148664.29</v>
      </c>
      <c r="G51" s="24">
        <f t="shared" si="5"/>
        <v>623894054.2800001</v>
      </c>
      <c r="H51" s="24">
        <f t="shared" si="5"/>
        <v>94430530.48</v>
      </c>
      <c r="I51" s="24">
        <f t="shared" si="5"/>
        <v>106278939.86999999</v>
      </c>
      <c r="J51" s="24">
        <f t="shared" si="5"/>
        <v>2347051.61</v>
      </c>
      <c r="K51" s="38">
        <f t="shared" si="0"/>
        <v>92.28689500787436</v>
      </c>
      <c r="L51" s="38">
        <f>IF(C51=0,"",100*D51/C51)</f>
        <v>78.79423150182166</v>
      </c>
      <c r="M51" s="38"/>
    </row>
    <row r="52" spans="2:13" ht="15">
      <c r="B52" s="100" t="s">
        <v>104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 s="5" customFormat="1" ht="7.5" customHeight="1">
      <c r="B53" s="6"/>
      <c r="C53" s="7"/>
      <c r="D53" s="8"/>
      <c r="E53" s="8"/>
      <c r="F53" s="4"/>
      <c r="G53" s="4"/>
      <c r="H53" s="4"/>
      <c r="I53" s="4"/>
      <c r="J53" s="4"/>
      <c r="K53" s="9"/>
      <c r="L53" s="9"/>
      <c r="M53" s="3"/>
    </row>
    <row r="54" spans="2:27" ht="29.25" customHeight="1">
      <c r="B54" s="103" t="s">
        <v>0</v>
      </c>
      <c r="C54" s="101" t="s">
        <v>56</v>
      </c>
      <c r="D54" s="101" t="s">
        <v>57</v>
      </c>
      <c r="E54" s="101" t="s">
        <v>58</v>
      </c>
      <c r="F54" s="101" t="s">
        <v>12</v>
      </c>
      <c r="G54" s="101"/>
      <c r="H54" s="101"/>
      <c r="I54" s="101" t="s">
        <v>88</v>
      </c>
      <c r="J54" s="101"/>
      <c r="K54" s="101" t="s">
        <v>2</v>
      </c>
      <c r="L54" s="107" t="s">
        <v>36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8" customHeight="1">
      <c r="B55" s="103"/>
      <c r="C55" s="101"/>
      <c r="D55" s="102"/>
      <c r="E55" s="101"/>
      <c r="F55" s="92" t="s">
        <v>59</v>
      </c>
      <c r="G55" s="106" t="s">
        <v>34</v>
      </c>
      <c r="H55" s="102"/>
      <c r="I55" s="101"/>
      <c r="J55" s="101"/>
      <c r="K55" s="101"/>
      <c r="L55" s="107"/>
      <c r="M55" s="11"/>
      <c r="N55" s="12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36" customHeight="1">
      <c r="B56" s="103"/>
      <c r="C56" s="101"/>
      <c r="D56" s="102"/>
      <c r="E56" s="101"/>
      <c r="F56" s="102"/>
      <c r="G56" s="18" t="s">
        <v>54</v>
      </c>
      <c r="H56" s="18" t="s">
        <v>55</v>
      </c>
      <c r="I56" s="101"/>
      <c r="J56" s="101"/>
      <c r="K56" s="101"/>
      <c r="L56" s="107"/>
      <c r="M56" s="11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27" ht="13.5" customHeight="1">
      <c r="B57" s="103"/>
      <c r="C57" s="104" t="s">
        <v>78</v>
      </c>
      <c r="D57" s="104"/>
      <c r="E57" s="104"/>
      <c r="F57" s="104"/>
      <c r="G57" s="104"/>
      <c r="H57" s="104"/>
      <c r="I57" s="104"/>
      <c r="J57" s="104"/>
      <c r="K57" s="104" t="s">
        <v>4</v>
      </c>
      <c r="L57" s="104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102">
        <v>8</v>
      </c>
      <c r="J58" s="102"/>
      <c r="K58" s="17">
        <v>9</v>
      </c>
      <c r="L58" s="19">
        <v>10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2:12" ht="25.5" customHeight="1">
      <c r="B59" s="80" t="s">
        <v>64</v>
      </c>
      <c r="C59" s="66">
        <f>166508154771.28</f>
        <v>166508154771.28</v>
      </c>
      <c r="D59" s="66">
        <f>133861380571.29</f>
        <v>133861380571.29</v>
      </c>
      <c r="E59" s="66">
        <f>104832623624.91</f>
        <v>104832623624.91</v>
      </c>
      <c r="F59" s="66">
        <f>3024036823.44</f>
        <v>3024036823.44</v>
      </c>
      <c r="G59" s="66">
        <f>2638419.92</f>
        <v>2638419.92</v>
      </c>
      <c r="H59" s="66">
        <f>9782000.31</f>
        <v>9782000.31</v>
      </c>
      <c r="I59" s="105">
        <f>0</f>
        <v>0</v>
      </c>
      <c r="J59" s="105"/>
      <c r="K59" s="58">
        <f aca="true" t="shared" si="6" ref="K59:K68">IF($E$59=0,"",100*$E59/$E$59)</f>
        <v>100</v>
      </c>
      <c r="L59" s="58">
        <f aca="true" t="shared" si="7" ref="L59:L68">IF(C59=0,"",100*E59/C59)</f>
        <v>62.95945310841434</v>
      </c>
    </row>
    <row r="60" spans="2:12" ht="24" customHeight="1">
      <c r="B60" s="80" t="s">
        <v>14</v>
      </c>
      <c r="C60" s="26">
        <f>34027001665</f>
        <v>34027001665</v>
      </c>
      <c r="D60" s="26">
        <f>19955330095.89</f>
        <v>19955330095.89</v>
      </c>
      <c r="E60" s="26">
        <f>10934728350.67</f>
        <v>10934728350.67</v>
      </c>
      <c r="F60" s="26">
        <f>971916843.73</f>
        <v>971916843.73</v>
      </c>
      <c r="G60" s="26">
        <f>269364.52</f>
        <v>269364.52</v>
      </c>
      <c r="H60" s="26">
        <f>2833360.47</f>
        <v>2833360.47</v>
      </c>
      <c r="I60" s="98">
        <f>0</f>
        <v>0</v>
      </c>
      <c r="J60" s="99"/>
      <c r="K60" s="35">
        <f t="shared" si="6"/>
        <v>10.430654096566675</v>
      </c>
      <c r="L60" s="35">
        <f t="shared" si="7"/>
        <v>32.13544483972976</v>
      </c>
    </row>
    <row r="61" spans="2:12" ht="22.5" customHeight="1">
      <c r="B61" s="20" t="s">
        <v>13</v>
      </c>
      <c r="C61" s="22">
        <f>32693317715.72</f>
        <v>32693317715.72</v>
      </c>
      <c r="D61" s="22">
        <f>19092574407.17</f>
        <v>19092574407.17</v>
      </c>
      <c r="E61" s="22">
        <f>10091927193.37</f>
        <v>10091927193.37</v>
      </c>
      <c r="F61" s="22">
        <f>971848443.73</f>
        <v>971848443.73</v>
      </c>
      <c r="G61" s="22">
        <f>269364.52</f>
        <v>269364.52</v>
      </c>
      <c r="H61" s="22">
        <f>2833360.47</f>
        <v>2833360.47</v>
      </c>
      <c r="I61" s="108">
        <f>0</f>
        <v>0</v>
      </c>
      <c r="J61" s="109"/>
      <c r="K61" s="36">
        <f t="shared" si="6"/>
        <v>9.626704783692915</v>
      </c>
      <c r="L61" s="36">
        <f t="shared" si="7"/>
        <v>30.86847067991964</v>
      </c>
    </row>
    <row r="62" spans="2:12" ht="25.5" customHeight="1">
      <c r="B62" s="80" t="s">
        <v>65</v>
      </c>
      <c r="C62" s="26">
        <f aca="true" t="shared" si="8" ref="C62:I62">C59-C60</f>
        <v>132481153106.28</v>
      </c>
      <c r="D62" s="26">
        <f t="shared" si="8"/>
        <v>113906050475.4</v>
      </c>
      <c r="E62" s="26">
        <f t="shared" si="8"/>
        <v>93897895274.24</v>
      </c>
      <c r="F62" s="26">
        <f t="shared" si="8"/>
        <v>2052119979.71</v>
      </c>
      <c r="G62" s="26">
        <f t="shared" si="8"/>
        <v>2369055.4</v>
      </c>
      <c r="H62" s="26">
        <f t="shared" si="8"/>
        <v>6948639.84</v>
      </c>
      <c r="I62" s="98">
        <f t="shared" si="8"/>
        <v>0</v>
      </c>
      <c r="J62" s="98"/>
      <c r="K62" s="35">
        <f t="shared" si="6"/>
        <v>89.56934590343332</v>
      </c>
      <c r="L62" s="35">
        <f t="shared" si="7"/>
        <v>70.87641756779739</v>
      </c>
    </row>
    <row r="63" spans="2:12" ht="22.5">
      <c r="B63" s="20" t="s">
        <v>101</v>
      </c>
      <c r="C63" s="22">
        <f>48835349915.2699</f>
        <v>48835349915.2699</v>
      </c>
      <c r="D63" s="22">
        <f>45003568269.2401</f>
        <v>45003568269.2401</v>
      </c>
      <c r="E63" s="22">
        <f>35141904255.11</f>
        <v>35141904255.11</v>
      </c>
      <c r="F63" s="22">
        <f>832032896.470001</f>
        <v>832032896.470001</v>
      </c>
      <c r="G63" s="22">
        <f>1316815.85</f>
        <v>1316815.85</v>
      </c>
      <c r="H63" s="22">
        <f>1463906.42</f>
        <v>1463906.42</v>
      </c>
      <c r="I63" s="108">
        <f>0</f>
        <v>0</v>
      </c>
      <c r="J63" s="109"/>
      <c r="K63" s="36">
        <f t="shared" si="6"/>
        <v>33.521916212692865</v>
      </c>
      <c r="L63" s="36">
        <f t="shared" si="7"/>
        <v>71.95997226615916</v>
      </c>
    </row>
    <row r="64" spans="2:12" ht="13.5" customHeight="1">
      <c r="B64" s="32" t="s">
        <v>53</v>
      </c>
      <c r="C64" s="68">
        <f>9516922408.12</f>
        <v>9516922408.12</v>
      </c>
      <c r="D64" s="68">
        <f>7964630707.6</f>
        <v>7964630707.6</v>
      </c>
      <c r="E64" s="68">
        <f>7045931888.30999</f>
        <v>7045931888.30999</v>
      </c>
      <c r="F64" s="68">
        <f>24499408.75</f>
        <v>24499408.75</v>
      </c>
      <c r="G64" s="68">
        <f>0</f>
        <v>0</v>
      </c>
      <c r="H64" s="68">
        <f>1011.98</f>
        <v>1011.98</v>
      </c>
      <c r="I64" s="87">
        <f>0</f>
        <v>0</v>
      </c>
      <c r="J64" s="87"/>
      <c r="K64" s="69">
        <f t="shared" si="6"/>
        <v>6.721125203849002</v>
      </c>
      <c r="L64" s="69">
        <f t="shared" si="7"/>
        <v>74.03582362191248</v>
      </c>
    </row>
    <row r="65" spans="2:12" ht="13.5" customHeight="1">
      <c r="B65" s="32" t="s">
        <v>52</v>
      </c>
      <c r="C65" s="24">
        <f>789098114.38</f>
        <v>789098114.38</v>
      </c>
      <c r="D65" s="24">
        <f>393735886.89</f>
        <v>393735886.89</v>
      </c>
      <c r="E65" s="24">
        <f>306700014.62</f>
        <v>306700014.62</v>
      </c>
      <c r="F65" s="24">
        <f>16955464.84</f>
        <v>16955464.84</v>
      </c>
      <c r="G65" s="24">
        <f>0</f>
        <v>0</v>
      </c>
      <c r="H65" s="24">
        <f>0</f>
        <v>0</v>
      </c>
      <c r="I65" s="97">
        <f>0</f>
        <v>0</v>
      </c>
      <c r="J65" s="97"/>
      <c r="K65" s="69">
        <f t="shared" si="6"/>
        <v>0.2925616129930787</v>
      </c>
      <c r="L65" s="69">
        <f t="shared" si="7"/>
        <v>38.86715847255273</v>
      </c>
    </row>
    <row r="66" spans="2:12" ht="22.5" customHeight="1">
      <c r="B66" s="32" t="s">
        <v>68</v>
      </c>
      <c r="C66" s="68">
        <f>104219755.14</f>
        <v>104219755.14</v>
      </c>
      <c r="D66" s="68">
        <f>12458745.81</f>
        <v>12458745.81</v>
      </c>
      <c r="E66" s="68">
        <f>3693982.62</f>
        <v>3693982.62</v>
      </c>
      <c r="F66" s="68">
        <f>0</f>
        <v>0</v>
      </c>
      <c r="G66" s="68">
        <f>0</f>
        <v>0</v>
      </c>
      <c r="H66" s="68">
        <f>0</f>
        <v>0</v>
      </c>
      <c r="I66" s="87">
        <f>0</f>
        <v>0</v>
      </c>
      <c r="J66" s="87"/>
      <c r="K66" s="69">
        <f t="shared" si="6"/>
        <v>0.003523695670554836</v>
      </c>
      <c r="L66" s="69">
        <f t="shared" si="7"/>
        <v>3.544416905449275</v>
      </c>
    </row>
    <row r="67" spans="2:12" ht="22.5" customHeight="1">
      <c r="B67" s="32" t="s">
        <v>70</v>
      </c>
      <c r="C67" s="68">
        <f>39808859392.46</f>
        <v>39808859392.46</v>
      </c>
      <c r="D67" s="68">
        <f>35732764995.5</f>
        <v>35732764995.5</v>
      </c>
      <c r="E67" s="68">
        <f>30419975235.21</f>
        <v>30419975235.21</v>
      </c>
      <c r="F67" s="68">
        <f>362855081.59</f>
        <v>362855081.59</v>
      </c>
      <c r="G67" s="68">
        <f>19351.7</f>
        <v>19351.7</v>
      </c>
      <c r="H67" s="68">
        <f>16766.94</f>
        <v>16766.94</v>
      </c>
      <c r="I67" s="88">
        <f>0</f>
        <v>0</v>
      </c>
      <c r="J67" s="89"/>
      <c r="K67" s="69">
        <f t="shared" si="6"/>
        <v>29.017660899199036</v>
      </c>
      <c r="L67" s="69">
        <f t="shared" si="7"/>
        <v>76.41508875024864</v>
      </c>
    </row>
    <row r="68" spans="2:12" ht="13.5" customHeight="1">
      <c r="B68" s="32" t="s">
        <v>51</v>
      </c>
      <c r="C68" s="24">
        <f aca="true" t="shared" si="9" ref="C68:I68">C62-C63-C64-C65-C66-C67</f>
        <v>33426703520.910103</v>
      </c>
      <c r="D68" s="24">
        <f t="shared" si="9"/>
        <v>24798891870.3599</v>
      </c>
      <c r="E68" s="24">
        <f t="shared" si="9"/>
        <v>20979689898.37001</v>
      </c>
      <c r="F68" s="24">
        <f t="shared" si="9"/>
        <v>815777128.0599992</v>
      </c>
      <c r="G68" s="24">
        <f t="shared" si="9"/>
        <v>1032887.8499999999</v>
      </c>
      <c r="H68" s="24">
        <f t="shared" si="9"/>
        <v>5466954.499999999</v>
      </c>
      <c r="I68" s="87">
        <f t="shared" si="9"/>
        <v>0</v>
      </c>
      <c r="J68" s="87" t="e">
        <f>J62-J63-#REF!-J64-J65-J66-J67</f>
        <v>#REF!</v>
      </c>
      <c r="K68" s="69">
        <f t="shared" si="6"/>
        <v>20.01255827902878</v>
      </c>
      <c r="L68" s="69">
        <f t="shared" si="7"/>
        <v>62.763263165469326</v>
      </c>
    </row>
    <row r="69" spans="2:13" ht="18" customHeight="1">
      <c r="B69" s="80" t="s">
        <v>15</v>
      </c>
      <c r="C69" s="26">
        <f>C6-C59</f>
        <v>-14452545273.649994</v>
      </c>
      <c r="D69" s="26"/>
      <c r="E69" s="26">
        <f>D6-E59</f>
        <v>11155691712.98999</v>
      </c>
      <c r="F69" s="26"/>
      <c r="G69" s="26"/>
      <c r="H69" s="26"/>
      <c r="I69" s="98"/>
      <c r="J69" s="98"/>
      <c r="K69" s="27"/>
      <c r="L69" s="27"/>
      <c r="M69" s="13"/>
    </row>
    <row r="70" spans="2:13" ht="33" customHeight="1">
      <c r="B70" s="82" t="s">
        <v>73</v>
      </c>
      <c r="C70" s="26">
        <f>+C51-C62</f>
        <v>3368912002.630005</v>
      </c>
      <c r="D70" s="26"/>
      <c r="E70" s="26">
        <f>+D51-E62</f>
        <v>13144119523.050003</v>
      </c>
      <c r="F70" s="26"/>
      <c r="G70" s="26"/>
      <c r="H70" s="26"/>
      <c r="I70" s="26"/>
      <c r="J70" s="26"/>
      <c r="K70" s="27"/>
      <c r="L70" s="27"/>
      <c r="M70" s="13"/>
    </row>
    <row r="71" spans="2:13" ht="8.25" customHeight="1" thickBot="1">
      <c r="B71" s="70"/>
      <c r="C71" s="71"/>
      <c r="D71" s="71"/>
      <c r="E71" s="71"/>
      <c r="F71" s="71"/>
      <c r="G71" s="71"/>
      <c r="H71" s="71"/>
      <c r="I71" s="71"/>
      <c r="J71" s="71"/>
      <c r="K71" s="27"/>
      <c r="L71" s="27"/>
      <c r="M71" s="13"/>
    </row>
    <row r="72" spans="2:13" ht="14.25" customHeight="1">
      <c r="B72" s="83" t="s">
        <v>74</v>
      </c>
      <c r="C72" s="71"/>
      <c r="D72" s="71"/>
      <c r="E72" s="71"/>
      <c r="F72" s="71"/>
      <c r="G72" s="71"/>
      <c r="H72" s="71"/>
      <c r="I72" s="71"/>
      <c r="J72" s="71"/>
      <c r="K72" s="27"/>
      <c r="L72" s="27"/>
      <c r="M72" s="13"/>
    </row>
    <row r="73" spans="2:13" ht="24" customHeight="1">
      <c r="B73" s="80" t="s">
        <v>75</v>
      </c>
      <c r="C73" s="41">
        <f>11785950725.52</f>
        <v>11785950725.52</v>
      </c>
      <c r="D73" s="41">
        <f>7312359532.24998</f>
        <v>7312359532.24998</v>
      </c>
      <c r="E73" s="41">
        <f>4445354632.16</f>
        <v>4445354632.16</v>
      </c>
      <c r="F73" s="41">
        <f>244854593.88</f>
        <v>244854593.88</v>
      </c>
      <c r="G73" s="41">
        <f>71174.48</f>
        <v>71174.48</v>
      </c>
      <c r="H73" s="41">
        <f>391253.78</f>
        <v>391253.78</v>
      </c>
      <c r="I73" s="41">
        <f>0</f>
        <v>0</v>
      </c>
      <c r="J73" s="41">
        <f>0</f>
        <v>0</v>
      </c>
      <c r="K73" s="72">
        <f>IF($E$59=0,"",100*$E73/$E$73)</f>
        <v>100</v>
      </c>
      <c r="L73" s="72">
        <f>IF(C73=0,"",100*E73/C73)</f>
        <v>37.71740384536411</v>
      </c>
      <c r="M73" s="13"/>
    </row>
    <row r="74" spans="2:13" ht="15" customHeight="1">
      <c r="B74" s="84" t="s">
        <v>76</v>
      </c>
      <c r="C74" s="22">
        <f>10526679904.74</f>
        <v>10526679904.74</v>
      </c>
      <c r="D74" s="22">
        <f>6581229173.09</f>
        <v>6581229173.09</v>
      </c>
      <c r="E74" s="22">
        <f>3868164190.59</f>
        <v>3868164190.59</v>
      </c>
      <c r="F74" s="22">
        <f>236279351.17</f>
        <v>236279351.17</v>
      </c>
      <c r="G74" s="22">
        <f>71174.48</f>
        <v>71174.48</v>
      </c>
      <c r="H74" s="22">
        <f>390703.78</f>
        <v>390703.78</v>
      </c>
      <c r="I74" s="22">
        <f>0</f>
        <v>0</v>
      </c>
      <c r="J74" s="22">
        <f>0</f>
        <v>0</v>
      </c>
      <c r="K74" s="36">
        <f>IF($E$59=0,"",100*$E74/$E$73)</f>
        <v>87.01587411284794</v>
      </c>
      <c r="L74" s="36">
        <f>IF(C74=0,"",100*E74/C74)</f>
        <v>36.74628872155812</v>
      </c>
      <c r="M74" s="13"/>
    </row>
    <row r="75" spans="2:13" ht="14.25" customHeight="1">
      <c r="B75" s="85" t="s">
        <v>77</v>
      </c>
      <c r="C75" s="22">
        <f>+C73-C74</f>
        <v>1259270820.7800007</v>
      </c>
      <c r="D75" s="22">
        <f aca="true" t="shared" si="10" ref="D75:J75">+D73-D74</f>
        <v>731130359.1599798</v>
      </c>
      <c r="E75" s="22">
        <f t="shared" si="10"/>
        <v>577190441.5699997</v>
      </c>
      <c r="F75" s="22">
        <f t="shared" si="10"/>
        <v>8575242.710000008</v>
      </c>
      <c r="G75" s="22">
        <f t="shared" si="10"/>
        <v>0</v>
      </c>
      <c r="H75" s="22">
        <f t="shared" si="10"/>
        <v>550</v>
      </c>
      <c r="I75" s="22">
        <f t="shared" si="10"/>
        <v>0</v>
      </c>
      <c r="J75" s="22">
        <f t="shared" si="10"/>
        <v>0</v>
      </c>
      <c r="K75" s="36">
        <f>IF($E$59=0,"",100*$E75/$E$73)</f>
        <v>12.984125887152059</v>
      </c>
      <c r="L75" s="36">
        <f>IF(C75=0,"",100*E75/C75)</f>
        <v>45.83529071311953</v>
      </c>
      <c r="M75" s="10"/>
    </row>
    <row r="76" spans="2:13" ht="15">
      <c r="B76" s="100" t="s">
        <v>104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ht="6.75" customHeight="1"/>
    <row r="78" spans="2:8" ht="18" customHeight="1">
      <c r="B78" s="79" t="s">
        <v>16</v>
      </c>
      <c r="C78" s="90" t="s">
        <v>17</v>
      </c>
      <c r="D78" s="91"/>
      <c r="E78" s="90" t="s">
        <v>1</v>
      </c>
      <c r="F78" s="91"/>
      <c r="G78" s="19" t="s">
        <v>26</v>
      </c>
      <c r="H78" s="19" t="s">
        <v>27</v>
      </c>
    </row>
    <row r="79" spans="2:10" ht="13.5" customHeight="1">
      <c r="B79" s="40"/>
      <c r="C79" s="92" t="s">
        <v>78</v>
      </c>
      <c r="D79" s="93"/>
      <c r="E79" s="93"/>
      <c r="F79" s="94"/>
      <c r="G79" s="95" t="s">
        <v>4</v>
      </c>
      <c r="H79" s="96"/>
      <c r="J79" s="14"/>
    </row>
    <row r="80" spans="2:10" ht="11.25" customHeight="1">
      <c r="B80" s="39">
        <v>1</v>
      </c>
      <c r="C80" s="42">
        <v>2</v>
      </c>
      <c r="D80" s="43"/>
      <c r="E80" s="42">
        <v>3</v>
      </c>
      <c r="F80" s="43"/>
      <c r="G80" s="30">
        <v>4</v>
      </c>
      <c r="H80" s="30">
        <v>5</v>
      </c>
      <c r="J80" s="10"/>
    </row>
    <row r="81" spans="2:8" ht="25.5" customHeight="1">
      <c r="B81" s="78" t="s">
        <v>66</v>
      </c>
      <c r="C81" s="44">
        <f>19630712645.76</f>
        <v>19630712645.76</v>
      </c>
      <c r="D81" s="45"/>
      <c r="E81" s="44">
        <f>23277323173.54</f>
        <v>23277323173.54</v>
      </c>
      <c r="F81" s="45"/>
      <c r="G81" s="37">
        <f aca="true" t="shared" si="11" ref="G81:G89">IF($E$81=0,"",100*$E81/$E$81)</f>
        <v>100</v>
      </c>
      <c r="H81" s="35">
        <f>IF(C81=0,"",100*E81/C81)</f>
        <v>118.5760476126557</v>
      </c>
    </row>
    <row r="82" spans="2:8" ht="26.25" customHeight="1">
      <c r="B82" s="60" t="s">
        <v>89</v>
      </c>
      <c r="C82" s="46">
        <f>7243502807.8</f>
        <v>7243502807.8</v>
      </c>
      <c r="D82" s="47"/>
      <c r="E82" s="46">
        <f>1168154609.53</f>
        <v>1168154609.53</v>
      </c>
      <c r="F82" s="47"/>
      <c r="G82" s="56">
        <f t="shared" si="11"/>
        <v>5.0184232990238105</v>
      </c>
      <c r="H82" s="57">
        <f aca="true" t="shared" si="12" ref="H82:H94">IF(C82=0,"",100*E82/C82)</f>
        <v>16.12692975382158</v>
      </c>
    </row>
    <row r="83" spans="2:8" ht="22.5">
      <c r="B83" s="73" t="s">
        <v>90</v>
      </c>
      <c r="C83" s="74">
        <f>259461265.9</f>
        <v>259461265.9</v>
      </c>
      <c r="D83" s="75"/>
      <c r="E83" s="74">
        <f>44388000</f>
        <v>44388000</v>
      </c>
      <c r="F83" s="75"/>
      <c r="G83" s="76">
        <f t="shared" si="11"/>
        <v>0.1906920296164342</v>
      </c>
      <c r="H83" s="67">
        <f t="shared" si="12"/>
        <v>17.107755890279112</v>
      </c>
    </row>
    <row r="84" spans="2:8" ht="12.75">
      <c r="B84" s="77" t="s">
        <v>91</v>
      </c>
      <c r="C84" s="74">
        <f>65035736.19</f>
        <v>65035736.19</v>
      </c>
      <c r="D84" s="75"/>
      <c r="E84" s="74">
        <f>26557955.57</f>
        <v>26557955.57</v>
      </c>
      <c r="F84" s="75"/>
      <c r="G84" s="76">
        <f t="shared" si="11"/>
        <v>0.11409368410620851</v>
      </c>
      <c r="H84" s="67">
        <f t="shared" si="12"/>
        <v>40.835942092531575</v>
      </c>
    </row>
    <row r="85" spans="2:8" ht="12.75">
      <c r="B85" s="77" t="s">
        <v>92</v>
      </c>
      <c r="C85" s="74">
        <f>1806516050.23</f>
        <v>1806516050.23</v>
      </c>
      <c r="D85" s="75"/>
      <c r="E85" s="74">
        <f>8039863772.03</f>
        <v>8039863772.03</v>
      </c>
      <c r="F85" s="75"/>
      <c r="G85" s="76">
        <f t="shared" si="11"/>
        <v>34.53946878724072</v>
      </c>
      <c r="H85" s="67">
        <f t="shared" si="12"/>
        <v>445.04801222255344</v>
      </c>
    </row>
    <row r="86" spans="2:8" ht="45">
      <c r="B86" s="77" t="s">
        <v>102</v>
      </c>
      <c r="C86" s="74">
        <f>4069849884.69</f>
        <v>4069849884.69</v>
      </c>
      <c r="D86" s="75"/>
      <c r="E86" s="74">
        <f>4757552187.37</f>
        <v>4757552187.37</v>
      </c>
      <c r="F86" s="75"/>
      <c r="G86" s="76">
        <f t="shared" si="11"/>
        <v>20.438570843824714</v>
      </c>
      <c r="H86" s="67">
        <f t="shared" si="12"/>
        <v>116.89748570990308</v>
      </c>
    </row>
    <row r="87" spans="2:8" ht="13.5" customHeight="1">
      <c r="B87" s="77" t="s">
        <v>93</v>
      </c>
      <c r="C87" s="74">
        <f>500000</f>
        <v>500000</v>
      </c>
      <c r="D87" s="75"/>
      <c r="E87" s="74">
        <f>0</f>
        <v>0</v>
      </c>
      <c r="F87" s="75"/>
      <c r="G87" s="76">
        <f t="shared" si="11"/>
        <v>0</v>
      </c>
      <c r="H87" s="67">
        <f t="shared" si="12"/>
        <v>0</v>
      </c>
    </row>
    <row r="88" spans="2:8" ht="40.5" customHeight="1">
      <c r="B88" s="77" t="s">
        <v>80</v>
      </c>
      <c r="C88" s="74">
        <f>6417673138.21</f>
        <v>6417673138.21</v>
      </c>
      <c r="D88" s="75"/>
      <c r="E88" s="74">
        <f>9271282364.42</f>
        <v>9271282364.42</v>
      </c>
      <c r="F88" s="75"/>
      <c r="G88" s="76">
        <f t="shared" si="11"/>
        <v>39.829675840729536</v>
      </c>
      <c r="H88" s="67">
        <f t="shared" si="12"/>
        <v>144.46485766344156</v>
      </c>
    </row>
    <row r="89" spans="2:8" ht="12.75">
      <c r="B89" s="77" t="s">
        <v>81</v>
      </c>
      <c r="C89" s="74">
        <f>27635028.64</f>
        <v>27635028.64</v>
      </c>
      <c r="D89" s="75"/>
      <c r="E89" s="74">
        <f>13912284.62</f>
        <v>13912284.62</v>
      </c>
      <c r="F89" s="75"/>
      <c r="G89" s="76">
        <f t="shared" si="11"/>
        <v>0.05976754507500455</v>
      </c>
      <c r="H89" s="67">
        <f t="shared" si="12"/>
        <v>50.342935414450146</v>
      </c>
    </row>
    <row r="90" spans="2:8" ht="25.5" customHeight="1">
      <c r="B90" s="78" t="s">
        <v>67</v>
      </c>
      <c r="C90" s="54">
        <f>5153817890.92</f>
        <v>5153817890.92</v>
      </c>
      <c r="D90" s="55"/>
      <c r="E90" s="54">
        <f>3654193752.72</f>
        <v>3654193752.72</v>
      </c>
      <c r="F90" s="55"/>
      <c r="G90" s="37">
        <f>IF($E$90=0,"",100*$E90/$E$90)</f>
        <v>100</v>
      </c>
      <c r="H90" s="35">
        <f t="shared" si="12"/>
        <v>70.90265566344439</v>
      </c>
    </row>
    <row r="91" spans="2:8" ht="36" customHeight="1">
      <c r="B91" s="60" t="s">
        <v>94</v>
      </c>
      <c r="C91" s="46">
        <f>4316706253.76</f>
        <v>4316706253.76</v>
      </c>
      <c r="D91" s="52"/>
      <c r="E91" s="53">
        <f>2718106782.38</f>
        <v>2718106782.38</v>
      </c>
      <c r="F91" s="52"/>
      <c r="G91" s="56">
        <f>IF($E$90=0,"",100*$E91/$E$90)</f>
        <v>74.38321463816133</v>
      </c>
      <c r="H91" s="57">
        <f t="shared" si="12"/>
        <v>62.96714723204608</v>
      </c>
    </row>
    <row r="92" spans="2:8" ht="24.75" customHeight="1">
      <c r="B92" s="77" t="s">
        <v>95</v>
      </c>
      <c r="C92" s="74">
        <f>85901000</f>
        <v>85901000</v>
      </c>
      <c r="D92" s="75"/>
      <c r="E92" s="74">
        <f>37814000</f>
        <v>37814000</v>
      </c>
      <c r="F92" s="75"/>
      <c r="G92" s="76">
        <f>IF($E$90=0,"",100*$E92/$E$90)</f>
        <v>1.0348110297067072</v>
      </c>
      <c r="H92" s="67">
        <f t="shared" si="12"/>
        <v>44.0204421368785</v>
      </c>
    </row>
    <row r="93" spans="2:8" ht="12.75">
      <c r="B93" s="73" t="s">
        <v>96</v>
      </c>
      <c r="C93" s="74">
        <f>59808035.7</f>
        <v>59808035.7</v>
      </c>
      <c r="D93" s="75"/>
      <c r="E93" s="74">
        <f>54956776.81</f>
        <v>54956776.81</v>
      </c>
      <c r="F93" s="75"/>
      <c r="G93" s="76">
        <f>IF($E$90=0,"",100*$E93/$E$90)</f>
        <v>1.5039371343977836</v>
      </c>
      <c r="H93" s="67">
        <f t="shared" si="12"/>
        <v>91.88861691707423</v>
      </c>
    </row>
    <row r="94" spans="2:8" ht="12.75">
      <c r="B94" s="77" t="s">
        <v>33</v>
      </c>
      <c r="C94" s="74">
        <f>777303601.46</f>
        <v>777303601.46</v>
      </c>
      <c r="D94" s="75"/>
      <c r="E94" s="74">
        <f>881130193.53</f>
        <v>881130193.53</v>
      </c>
      <c r="F94" s="75"/>
      <c r="G94" s="76">
        <f>IF($E$90=0,"",100*$E94/$E$90)</f>
        <v>24.112848227440885</v>
      </c>
      <c r="H94" s="67">
        <f t="shared" si="12"/>
        <v>113.35727660015775</v>
      </c>
    </row>
    <row r="95" ht="7.5" customHeight="1"/>
    <row r="96" spans="2:8" ht="12.75">
      <c r="B96" s="79" t="s">
        <v>16</v>
      </c>
      <c r="C96" s="90" t="s">
        <v>17</v>
      </c>
      <c r="D96" s="91"/>
      <c r="E96" s="90" t="s">
        <v>1</v>
      </c>
      <c r="F96" s="91"/>
      <c r="G96" s="19" t="s">
        <v>26</v>
      </c>
      <c r="H96" s="19" t="s">
        <v>27</v>
      </c>
    </row>
    <row r="97" spans="2:8" ht="12.75">
      <c r="B97" s="40"/>
      <c r="C97" s="92" t="s">
        <v>78</v>
      </c>
      <c r="D97" s="93"/>
      <c r="E97" s="93"/>
      <c r="F97" s="94"/>
      <c r="G97" s="95" t="s">
        <v>4</v>
      </c>
      <c r="H97" s="96"/>
    </row>
    <row r="98" spans="2:8" ht="12.75">
      <c r="B98" s="39">
        <v>1</v>
      </c>
      <c r="C98" s="42">
        <v>2</v>
      </c>
      <c r="D98" s="43"/>
      <c r="E98" s="42">
        <v>3</v>
      </c>
      <c r="F98" s="43"/>
      <c r="G98" s="30">
        <v>4</v>
      </c>
      <c r="H98" s="30">
        <v>5</v>
      </c>
    </row>
    <row r="99" spans="2:8" ht="31.5" customHeight="1">
      <c r="B99" s="61" t="s">
        <v>82</v>
      </c>
      <c r="C99" s="51">
        <f>14556584642</f>
        <v>14556584642</v>
      </c>
      <c r="D99" s="48"/>
      <c r="E99" s="51">
        <f>0</f>
        <v>0</v>
      </c>
      <c r="F99" s="45"/>
      <c r="G99" s="37"/>
      <c r="H99" s="35"/>
    </row>
    <row r="100" spans="2:8" ht="47.25" customHeight="1">
      <c r="B100" s="59" t="s">
        <v>83</v>
      </c>
      <c r="C100" s="53">
        <f>194960093.3</f>
        <v>194960093.3</v>
      </c>
      <c r="D100" s="52"/>
      <c r="E100" s="53">
        <f>0</f>
        <v>0</v>
      </c>
      <c r="F100" s="52"/>
      <c r="G100" s="56"/>
      <c r="H100" s="57"/>
    </row>
    <row r="101" spans="2:8" ht="12.75">
      <c r="B101" s="59" t="s">
        <v>84</v>
      </c>
      <c r="C101" s="53">
        <f>4817718701.25</f>
        <v>4817718701.25</v>
      </c>
      <c r="D101" s="52"/>
      <c r="E101" s="53">
        <f>0</f>
        <v>0</v>
      </c>
      <c r="F101" s="52"/>
      <c r="G101" s="56"/>
      <c r="H101" s="57"/>
    </row>
    <row r="102" spans="2:8" ht="25.5" customHeight="1">
      <c r="B102" s="59" t="s">
        <v>85</v>
      </c>
      <c r="C102" s="53">
        <f>0</f>
        <v>0</v>
      </c>
      <c r="D102" s="52"/>
      <c r="E102" s="53">
        <f>0</f>
        <v>0</v>
      </c>
      <c r="F102" s="52"/>
      <c r="G102" s="56"/>
      <c r="H102" s="57"/>
    </row>
    <row r="103" spans="2:8" ht="33.75">
      <c r="B103" s="59" t="s">
        <v>86</v>
      </c>
      <c r="C103" s="53">
        <f>1240702727.81</f>
        <v>1240702727.81</v>
      </c>
      <c r="D103" s="52"/>
      <c r="E103" s="53">
        <f>0</f>
        <v>0</v>
      </c>
      <c r="F103" s="52"/>
      <c r="G103" s="56"/>
      <c r="H103" s="57"/>
    </row>
    <row r="104" spans="2:8" ht="91.5" customHeight="1">
      <c r="B104" s="59" t="s">
        <v>87</v>
      </c>
      <c r="C104" s="53">
        <f>4707267688.56</f>
        <v>4707267688.56</v>
      </c>
      <c r="D104" s="52"/>
      <c r="E104" s="53">
        <f>0</f>
        <v>0</v>
      </c>
      <c r="F104" s="52"/>
      <c r="G104" s="56"/>
      <c r="H104" s="57"/>
    </row>
    <row r="105" ht="7.5" customHeight="1"/>
    <row r="106" ht="7.5" customHeight="1"/>
  </sheetData>
  <sheetProtection/>
  <mergeCells count="38">
    <mergeCell ref="I61:J61"/>
    <mergeCell ref="C96:D96"/>
    <mergeCell ref="E96:F96"/>
    <mergeCell ref="C97:F97"/>
    <mergeCell ref="G97:H97"/>
    <mergeCell ref="I68:J68"/>
    <mergeCell ref="I69:J69"/>
    <mergeCell ref="B76:M76"/>
    <mergeCell ref="I62:J62"/>
    <mergeCell ref="I63:J63"/>
    <mergeCell ref="I58:J58"/>
    <mergeCell ref="I59:J59"/>
    <mergeCell ref="B3:B4"/>
    <mergeCell ref="K4:M4"/>
    <mergeCell ref="C4:J4"/>
    <mergeCell ref="C57:J57"/>
    <mergeCell ref="C54:C56"/>
    <mergeCell ref="B52:M52"/>
    <mergeCell ref="G55:H55"/>
    <mergeCell ref="L54:L56"/>
    <mergeCell ref="I60:J60"/>
    <mergeCell ref="B1:M1"/>
    <mergeCell ref="I54:J56"/>
    <mergeCell ref="D54:D56"/>
    <mergeCell ref="E54:E56"/>
    <mergeCell ref="F55:F56"/>
    <mergeCell ref="F54:H54"/>
    <mergeCell ref="B54:B57"/>
    <mergeCell ref="K54:K56"/>
    <mergeCell ref="K57:L57"/>
    <mergeCell ref="I64:J64"/>
    <mergeCell ref="I67:J67"/>
    <mergeCell ref="C78:D78"/>
    <mergeCell ref="E78:F78"/>
    <mergeCell ref="C79:F79"/>
    <mergeCell ref="G79:H79"/>
    <mergeCell ref="I65:J65"/>
    <mergeCell ref="I66:J66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6" manualBreakCount="6">
    <brk id="21" max="255" man="1"/>
    <brk id="51" max="255" man="1"/>
    <brk id="75" max="255" man="1"/>
    <brk id="95" max="12" man="1"/>
    <brk id="104" max="12" man="1"/>
    <brk id="10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2021-12-08T11:09:02Z</dcterms:modified>
  <cp:category/>
  <cp:version/>
  <cp:contentType/>
  <cp:contentStatus/>
</cp:coreProperties>
</file>