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  <sheet name="definicja" sheetId="2" r:id="rId2"/>
  </sheets>
  <definedNames/>
  <calcPr fullCalcOnLoad="1"/>
</workbook>
</file>

<file path=xl/sharedStrings.xml><?xml version="1.0" encoding="utf-8"?>
<sst xmlns="http://schemas.openxmlformats.org/spreadsheetml/2006/main" count="268" uniqueCount="155">
  <si>
    <t>Wyszczególnienie</t>
  </si>
  <si>
    <t>ZO</t>
  </si>
  <si>
    <t>ogółem</t>
  </si>
  <si>
    <t>sektora finansów publicznych (kol.5+7+8)</t>
  </si>
  <si>
    <t>banku centralnego</t>
  </si>
  <si>
    <t>Poręczenia i gwarancje</t>
  </si>
  <si>
    <t>sektora finansów publicznych (kol.4+6+7)</t>
  </si>
  <si>
    <t>Liczba jednostek</t>
  </si>
  <si>
    <t>Wykonanie</t>
  </si>
  <si>
    <t>KO</t>
  </si>
  <si>
    <t>KFP</t>
  </si>
  <si>
    <t>KG1</t>
  </si>
  <si>
    <t>KG2</t>
  </si>
  <si>
    <t>KG3</t>
  </si>
  <si>
    <t>KBC</t>
  </si>
  <si>
    <t>KBK</t>
  </si>
  <si>
    <t>FP</t>
  </si>
  <si>
    <t>G1</t>
  </si>
  <si>
    <t>G2</t>
  </si>
  <si>
    <t>G3</t>
  </si>
  <si>
    <t>O</t>
  </si>
  <si>
    <t>Z</t>
  </si>
  <si>
    <t>N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</si>
  <si>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</si>
  <si>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</si>
  <si>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</si>
  <si>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</si>
  <si>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</si>
  <si>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</si>
  <si>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[w]&gt;0</t>
  </si>
  <si>
    <t>[w]&lt;0</t>
  </si>
  <si>
    <t>[w]=0</t>
  </si>
  <si>
    <t>w</t>
  </si>
  <si>
    <t>kodGus</t>
  </si>
  <si>
    <t>Symbol=E</t>
  </si>
  <si>
    <t>Symbol=E1</t>
  </si>
  <si>
    <t>Symbol=E11</t>
  </si>
  <si>
    <t>Symbol=E2</t>
  </si>
  <si>
    <t>Symbol=E21</t>
  </si>
  <si>
    <t>Symbol=E3</t>
  </si>
  <si>
    <t>Symbol=E4</t>
  </si>
  <si>
    <t>Symbol=E41</t>
  </si>
  <si>
    <t>Symbol=N</t>
  </si>
  <si>
    <t>Symbol=N1</t>
  </si>
  <si>
    <t>Symbol=N11</t>
  </si>
  <si>
    <t>Symbol=N21</t>
  </si>
  <si>
    <t>Symbol=N3</t>
  </si>
  <si>
    <t>Symbol=N4</t>
  </si>
  <si>
    <t>Symbol=N41</t>
  </si>
  <si>
    <t>Symbol=F1</t>
  </si>
  <si>
    <t>Symbol=F2</t>
  </si>
  <si>
    <t>Symbol=F3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</si>
  <si>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</si>
  <si>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</si>
  <si>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</si>
  <si>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</si>
  <si>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5+6+7+8))</t>
  </si>
  <si>
    <t>sektor 
finansów 
publicznych 
ogółem 
(kol 5+6+7+8)</t>
  </si>
  <si>
    <t>KG4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</si>
  <si>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</si>
  <si>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</si>
  <si>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</si>
  <si>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</si>
  <si>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</si>
  <si>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</si>
  <si>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</si>
  <si>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</si>
  <si>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KIF</t>
  </si>
  <si>
    <t>KPN</t>
  </si>
  <si>
    <t>KGD</t>
  </si>
  <si>
    <t>KIN</t>
  </si>
  <si>
    <t>ZSE</t>
  </si>
  <si>
    <t>ZPZ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</si>
  <si>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</si>
  <si>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</si>
  <si>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</si>
  <si>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</si>
  <si>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</si>
  <si>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bank centralny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</si>
  <si>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</si>
  <si>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</si>
  <si>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</si>
  <si>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</si>
  <si>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</si>
  <si>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</si>
  <si>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</si>
  <si>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</si>
  <si>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</si>
  <si>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</si>
  <si>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</si>
  <si>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</si>
  <si>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</si>
  <si>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</si>
  <si>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</si>
  <si>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</si>
  <si>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</si>
  <si>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</si>
  <si>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Symbol=N12</t>
  </si>
  <si>
    <t>Symbol=N22</t>
  </si>
  <si>
    <t>Symbol=N31</t>
  </si>
  <si>
    <t>Symbol=N32</t>
  </si>
  <si>
    <t>Symbol=N33</t>
  </si>
  <si>
    <t>Symbol=N42</t>
  </si>
  <si>
    <t>Symbol=N5</t>
  </si>
  <si>
    <t>Symbol=N51</t>
  </si>
  <si>
    <t>Symbol=N52</t>
  </si>
  <si>
    <t>Symbol=N53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</si>
  <si>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</si>
  <si>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</si>
  <si>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</si>
  <si>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</si>
  <si>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</si>
  <si>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</si>
  <si>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</si>
  <si>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</si>
  <si>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</si>
  <si>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</si>
  <si>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</si>
  <si>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Symbol=E12</t>
  </si>
  <si>
    <t>Symbol=E22</t>
  </si>
  <si>
    <t>Symbol=E42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</si>
  <si>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</si>
  <si>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</si>
  <si>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</si>
  <si>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</si>
  <si>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</si>
  <si>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</si>
  <si>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</si>
  <si>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Symbol=B1</t>
  </si>
  <si>
    <t>Symbol=B2</t>
  </si>
  <si>
    <t>Symbol=B3</t>
  </si>
  <si>
    <t>Symbol=B4</t>
  </si>
  <si>
    <t>G4</t>
  </si>
  <si>
    <t>PP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</si>
  <si>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</si>
  <si>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</si>
  <si>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</si>
  <si>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</si>
  <si>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</si>
  <si>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</si>
  <si>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</si>
  <si>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</si>
  <si>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</si>
  <si>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</si>
  <si>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</si>
  <si>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</si>
  <si>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</si>
  <si>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</si>
  <si>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Symbol=N2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</si>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</sst>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13" fillId="40" borderId="1" applyNumberFormat="0" applyAlignment="0" applyProtection="0"/>
    <xf numFmtId="0" fontId="14" fillId="41" borderId="2" applyNumberFormat="0" applyAlignment="0" applyProtection="0"/>
    <xf numFmtId="0" fontId="35" fillId="42" borderId="3" applyNumberFormat="0" applyAlignment="0" applyProtection="0"/>
    <xf numFmtId="0" fontId="36" fillId="43" borderId="4" applyNumberFormat="0" applyAlignment="0" applyProtection="0"/>
    <xf numFmtId="0" fontId="3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5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6" borderId="1" applyNumberFormat="0" applyAlignment="0" applyProtection="0"/>
    <xf numFmtId="0" fontId="38" fillId="0" borderId="8" applyNumberFormat="0" applyFill="0" applyAlignment="0" applyProtection="0"/>
    <xf numFmtId="0" fontId="39" fillId="46" borderId="9" applyNumberFormat="0" applyAlignment="0" applyProtection="0"/>
    <xf numFmtId="0" fontId="21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43" fillId="47" borderId="0" applyNumberFormat="0" applyBorder="0" applyAlignment="0" applyProtection="0"/>
    <xf numFmtId="0" fontId="6" fillId="0" borderId="0">
      <alignment/>
      <protection/>
    </xf>
    <xf numFmtId="0" fontId="0" fillId="4" borderId="14" applyNumberFormat="0" applyFont="0" applyAlignment="0" applyProtection="0"/>
    <xf numFmtId="0" fontId="44" fillId="43" borderId="3" applyNumberFormat="0" applyAlignment="0" applyProtection="0"/>
    <xf numFmtId="0" fontId="2" fillId="0" borderId="0" applyNumberFormat="0" applyFill="0" applyBorder="0" applyAlignment="0" applyProtection="0"/>
    <xf numFmtId="0" fontId="23" fillId="40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9" fillId="4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88" applyFont="1" applyAlignment="1">
      <alignment horizontal="center" vertical="center" wrapText="1"/>
      <protection/>
    </xf>
    <xf numFmtId="0" fontId="6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4" fillId="2" borderId="19" xfId="88" applyFont="1" applyFill="1" applyBorder="1" applyAlignment="1">
      <alignment horizontal="center" vertical="center" wrapText="1"/>
      <protection/>
    </xf>
    <xf numFmtId="0" fontId="4" fillId="0" borderId="19" xfId="88" applyFont="1" applyBorder="1" applyAlignment="1">
      <alignment horizontal="left" vertical="center" wrapText="1"/>
      <protection/>
    </xf>
    <xf numFmtId="0" fontId="6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169" fontId="6" fillId="0" borderId="19" xfId="0" applyNumberFormat="1" applyFont="1" applyBorder="1" applyAlignment="1">
      <alignment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6" fillId="2" borderId="27" xfId="88" applyFill="1" applyBorder="1" applyAlignment="1">
      <alignment horizontal="center" vertical="center" wrapText="1"/>
      <protection/>
    </xf>
    <xf numFmtId="0" fontId="4" fillId="2" borderId="26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9" fillId="0" borderId="26" xfId="88" applyFont="1" applyBorder="1" applyAlignment="1">
      <alignment horizontal="left" vertical="center" wrapText="1"/>
      <protection/>
    </xf>
    <xf numFmtId="0" fontId="27" fillId="0" borderId="29" xfId="0" applyFont="1" applyFill="1" applyBorder="1" applyAlignment="1">
      <alignment wrapText="1"/>
    </xf>
    <xf numFmtId="0" fontId="27" fillId="0" borderId="28" xfId="0" applyFont="1" applyFill="1" applyBorder="1" applyAlignment="1">
      <alignment horizontal="left" wrapText="1"/>
    </xf>
    <xf numFmtId="0" fontId="27" fillId="0" borderId="28" xfId="0" applyFont="1" applyFill="1" applyBorder="1" applyAlignment="1">
      <alignment wrapText="1"/>
    </xf>
    <xf numFmtId="0" fontId="27" fillId="0" borderId="30" xfId="0" applyFont="1" applyFill="1" applyBorder="1" applyAlignment="1">
      <alignment horizontal="left" wrapText="1"/>
    </xf>
    <xf numFmtId="0" fontId="29" fillId="0" borderId="31" xfId="0" applyFont="1" applyFill="1" applyBorder="1" applyAlignment="1">
      <alignment wrapText="1"/>
    </xf>
    <xf numFmtId="0" fontId="29" fillId="0" borderId="31" xfId="0" applyFont="1" applyFill="1" applyBorder="1" applyAlignment="1">
      <alignment horizontal="left" wrapText="1" indent="1"/>
    </xf>
    <xf numFmtId="0" fontId="29" fillId="0" borderId="32" xfId="0" applyFont="1" applyFill="1" applyBorder="1" applyAlignment="1">
      <alignment wrapText="1"/>
    </xf>
    <xf numFmtId="0" fontId="29" fillId="0" borderId="32" xfId="0" applyFont="1" applyFill="1" applyBorder="1" applyAlignment="1">
      <alignment horizontal="left" wrapText="1" indent="1"/>
    </xf>
    <xf numFmtId="0" fontId="29" fillId="0" borderId="31" xfId="0" applyFont="1" applyFill="1" applyBorder="1" applyAlignment="1">
      <alignment horizontal="left" indent="1"/>
    </xf>
    <xf numFmtId="0" fontId="29" fillId="0" borderId="32" xfId="0" applyFont="1" applyFill="1" applyBorder="1" applyAlignment="1">
      <alignment/>
    </xf>
    <xf numFmtId="0" fontId="29" fillId="0" borderId="33" xfId="0" applyFont="1" applyFill="1" applyBorder="1" applyAlignment="1">
      <alignment horizontal="left" indent="1"/>
    </xf>
    <xf numFmtId="0" fontId="6" fillId="0" borderId="0" xfId="88" applyBorder="1" applyAlignment="1">
      <alignment horizontal="center" vertical="center" wrapText="1"/>
      <protection/>
    </xf>
    <xf numFmtId="0" fontId="3" fillId="0" borderId="34" xfId="88" applyFont="1" applyBorder="1" applyAlignment="1">
      <alignment horizontal="left" vertical="center" wrapText="1"/>
      <protection/>
    </xf>
    <xf numFmtId="0" fontId="6" fillId="2" borderId="0" xfId="88" applyFont="1" applyFill="1" applyAlignment="1">
      <alignment horizontal="center" vertical="center" wrapText="1"/>
      <protection/>
    </xf>
    <xf numFmtId="0" fontId="28" fillId="0" borderId="0" xfId="88" applyFont="1" applyAlignment="1">
      <alignment horizontal="center" vertical="center" wrapText="1"/>
      <protection/>
    </xf>
    <xf numFmtId="0" fontId="28" fillId="0" borderId="0" xfId="88" applyFont="1" applyFill="1" applyBorder="1" applyAlignment="1">
      <alignment horizontal="center" vertical="center" wrapText="1"/>
      <protection/>
    </xf>
    <xf numFmtId="0" fontId="6" fillId="2" borderId="19" xfId="88" applyFill="1" applyBorder="1" applyAlignment="1">
      <alignment horizontal="center" vertical="center" wrapText="1"/>
      <protection/>
    </xf>
    <xf numFmtId="0" fontId="8" fillId="2" borderId="19" xfId="88" applyFont="1" applyFill="1" applyBorder="1" applyAlignment="1">
      <alignment horizontal="center" vertical="center" wrapText="1"/>
      <protection/>
    </xf>
    <xf numFmtId="0" fontId="30" fillId="0" borderId="19" xfId="88" applyFont="1" applyBorder="1" applyAlignment="1">
      <alignment horizontal="left" vertical="center" wrapText="1"/>
      <protection/>
    </xf>
    <xf numFmtId="4" fontId="8" fillId="0" borderId="19" xfId="88" applyNumberFormat="1" applyFont="1" applyBorder="1" applyAlignment="1">
      <alignment vertical="center" wrapText="1"/>
      <protection/>
    </xf>
    <xf numFmtId="0" fontId="6" fillId="2" borderId="19" xfId="88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indent="1"/>
    </xf>
    <xf numFmtId="4" fontId="8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7" fillId="0" borderId="31" xfId="0" applyFont="1" applyFill="1" applyBorder="1" applyAlignment="1">
      <alignment vertical="top" wrapText="1"/>
    </xf>
    <xf numFmtId="0" fontId="9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8" fillId="40" borderId="19" xfId="88" applyNumberFormat="1" applyFont="1" applyFill="1" applyBorder="1" applyAlignment="1">
      <alignment horizontal="right" vertical="center" wrapText="1"/>
      <protection/>
    </xf>
    <xf numFmtId="4" fontId="8" fillId="0" borderId="19" xfId="88" applyNumberFormat="1" applyFont="1" applyBorder="1" applyAlignment="1">
      <alignment horizontal="right" vertical="center" wrapText="1"/>
      <protection/>
    </xf>
    <xf numFmtId="4" fontId="8" fillId="40" borderId="19" xfId="88" applyNumberFormat="1" applyFont="1" applyFill="1" applyBorder="1" applyAlignment="1">
      <alignment vertical="center" wrapText="1"/>
      <protection/>
    </xf>
    <xf numFmtId="4" fontId="8" fillId="0" borderId="19" xfId="88" applyNumberFormat="1" applyFont="1" applyFill="1" applyBorder="1" applyAlignment="1">
      <alignment vertical="center" wrapText="1"/>
      <protection/>
    </xf>
    <xf numFmtId="4" fontId="8" fillId="0" borderId="19" xfId="88" applyNumberFormat="1" applyFont="1" applyFill="1" applyBorder="1" applyAlignment="1">
      <alignment horizontal="right" vertical="center" wrapText="1"/>
      <protection/>
    </xf>
    <xf numFmtId="0" fontId="9" fillId="50" borderId="19" xfId="88" applyFont="1" applyFill="1" applyBorder="1" applyAlignment="1">
      <alignment horizontal="left" vertical="center" wrapText="1"/>
      <protection/>
    </xf>
    <xf numFmtId="4" fontId="8" fillId="50" borderId="19" xfId="88" applyNumberFormat="1" applyFont="1" applyFill="1" applyBorder="1" applyAlignment="1">
      <alignment horizontal="right" vertical="center" wrapText="1"/>
      <protection/>
    </xf>
    <xf numFmtId="0" fontId="31" fillId="50" borderId="31" xfId="0" applyFont="1" applyFill="1" applyBorder="1" applyAlignment="1">
      <alignment vertical="top" wrapText="1"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2" fillId="0" borderId="0" xfId="88" applyFont="1" applyAlignment="1">
      <alignment horizontal="center" vertical="center" wrapText="1"/>
      <protection/>
    </xf>
    <xf numFmtId="0" fontId="3" fillId="2" borderId="35" xfId="88" applyFont="1" applyFill="1" applyBorder="1" applyAlignment="1">
      <alignment horizontal="center" vertical="center" wrapText="1"/>
      <protection/>
    </xf>
    <xf numFmtId="0" fontId="3" fillId="2" borderId="36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0" xfId="88" applyFont="1" applyFill="1" applyBorder="1" applyAlignment="1">
      <alignment horizontal="left" vertical="center" wrapText="1"/>
      <protection/>
    </xf>
    <xf numFmtId="4" fontId="8" fillId="0" borderId="24" xfId="88" applyNumberFormat="1" applyFont="1" applyBorder="1" applyAlignment="1">
      <alignment horizontal="right" vertical="center" wrapText="1"/>
      <protection/>
    </xf>
    <xf numFmtId="4" fontId="8" fillId="0" borderId="20" xfId="88" applyNumberFormat="1" applyFont="1" applyBorder="1" applyAlignment="1">
      <alignment horizontal="right" vertical="center" wrapText="1"/>
      <protection/>
    </xf>
    <xf numFmtId="0" fontId="7" fillId="0" borderId="0" xfId="88" applyFont="1" applyAlignment="1">
      <alignment horizontal="left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9" fillId="2" borderId="37" xfId="88" applyFont="1" applyFill="1" applyBorder="1" applyAlignment="1">
      <alignment horizontal="center" vertical="center" wrapText="1"/>
      <protection/>
    </xf>
    <xf numFmtId="0" fontId="9" fillId="2" borderId="34" xfId="88" applyFont="1" applyFill="1" applyBorder="1" applyAlignment="1">
      <alignment horizontal="center" vertical="center" wrapText="1"/>
      <protection/>
    </xf>
    <xf numFmtId="0" fontId="9" fillId="2" borderId="38" xfId="88" applyFont="1" applyFill="1" applyBorder="1" applyAlignment="1">
      <alignment horizontal="center" vertical="center" wrapText="1"/>
      <protection/>
    </xf>
    <xf numFmtId="0" fontId="9" fillId="2" borderId="39" xfId="88" applyFont="1" applyFill="1" applyBorder="1" applyAlignment="1">
      <alignment horizontal="center" vertical="center" wrapText="1"/>
      <protection/>
    </xf>
    <xf numFmtId="0" fontId="9" fillId="2" borderId="0" xfId="88" applyFont="1" applyFill="1" applyBorder="1" applyAlignment="1">
      <alignment horizontal="center" vertical="center" wrapText="1"/>
      <protection/>
    </xf>
    <xf numFmtId="0" fontId="9" fillId="2" borderId="40" xfId="88" applyFont="1" applyFill="1" applyBorder="1" applyAlignment="1">
      <alignment horizontal="center" vertical="center" wrapText="1"/>
      <protection/>
    </xf>
    <xf numFmtId="0" fontId="9" fillId="2" borderId="22" xfId="88" applyFont="1" applyFill="1" applyBorder="1" applyAlignment="1">
      <alignment horizontal="center" vertical="center" wrapText="1"/>
      <protection/>
    </xf>
    <xf numFmtId="0" fontId="9" fillId="2" borderId="41" xfId="88" applyFont="1" applyFill="1" applyBorder="1" applyAlignment="1">
      <alignment horizontal="center" vertical="center" wrapText="1"/>
      <protection/>
    </xf>
    <xf numFmtId="0" fontId="9" fillId="2" borderId="25" xfId="88" applyFont="1" applyFill="1" applyBorder="1" applyAlignment="1">
      <alignment horizontal="center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0" xfId="88" applyFont="1" applyBorder="1" applyAlignment="1">
      <alignment horizontal="left" vertical="center" wrapText="1"/>
      <protection/>
    </xf>
    <xf numFmtId="3" fontId="8" fillId="0" borderId="24" xfId="88" applyNumberFormat="1" applyFont="1" applyBorder="1" applyAlignment="1">
      <alignment horizontal="right" vertical="center" wrapText="1"/>
      <protection/>
    </xf>
    <xf numFmtId="3" fontId="8" fillId="0" borderId="20" xfId="88" applyNumberFormat="1" applyFont="1" applyBorder="1" applyAlignment="1">
      <alignment horizontal="right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8" fillId="0" borderId="24" xfId="88" applyNumberFormat="1" applyFont="1" applyFill="1" applyBorder="1" applyAlignment="1">
      <alignment horizontal="right" vertical="center" wrapText="1"/>
      <protection/>
    </xf>
    <xf numFmtId="3" fontId="8" fillId="0" borderId="20" xfId="88" applyNumberFormat="1" applyFont="1" applyFill="1" applyBorder="1" applyAlignment="1">
      <alignment horizontal="right" vertical="center" wrapText="1"/>
      <protection/>
    </xf>
    <xf numFmtId="4" fontId="8" fillId="0" borderId="24" xfId="88" applyNumberFormat="1" applyFont="1" applyFill="1" applyBorder="1" applyAlignment="1">
      <alignment horizontal="right" vertical="center" wrapText="1"/>
      <protection/>
    </xf>
    <xf numFmtId="4" fontId="8" fillId="0" borderId="20" xfId="88" applyNumberFormat="1" applyFont="1" applyFill="1" applyBorder="1" applyAlignment="1">
      <alignment horizontal="right" vertical="center" wrapText="1"/>
      <protection/>
    </xf>
    <xf numFmtId="0" fontId="3" fillId="2" borderId="37" xfId="88" applyFont="1" applyFill="1" applyBorder="1" applyAlignment="1">
      <alignment horizontal="center" vertical="center" wrapText="1"/>
      <protection/>
    </xf>
    <xf numFmtId="0" fontId="3" fillId="2" borderId="39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28" fillId="0" borderId="0" xfId="88" applyFont="1" applyFill="1" applyBorder="1" applyAlignment="1">
      <alignment horizontal="center" vertical="center" wrapText="1"/>
      <protection/>
    </xf>
    <xf numFmtId="0" fontId="9" fillId="2" borderId="35" xfId="88" applyFont="1" applyFill="1" applyBorder="1" applyAlignment="1">
      <alignment horizontal="center" vertical="center" wrapText="1"/>
      <protection/>
    </xf>
    <xf numFmtId="0" fontId="9" fillId="2" borderId="36" xfId="88" applyFont="1" applyFill="1" applyBorder="1" applyAlignment="1">
      <alignment horizontal="center" vertical="center" wrapText="1"/>
      <protection/>
    </xf>
    <xf numFmtId="0" fontId="9" fillId="2" borderId="21" xfId="88" applyFont="1" applyFill="1" applyBorder="1" applyAlignment="1">
      <alignment horizontal="center" vertical="center" wrapText="1"/>
      <protection/>
    </xf>
    <xf numFmtId="0" fontId="9" fillId="2" borderId="24" xfId="88" applyFont="1" applyFill="1" applyBorder="1" applyAlignment="1">
      <alignment horizontal="center" vertical="center" wrapText="1"/>
      <protection/>
    </xf>
    <xf numFmtId="0" fontId="9" fillId="2" borderId="23" xfId="88" applyFont="1" applyFill="1" applyBorder="1" applyAlignment="1">
      <alignment horizontal="center" vertical="center" wrapText="1"/>
      <protection/>
    </xf>
    <xf numFmtId="0" fontId="9" fillId="2" borderId="20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40" borderId="19" xfId="88" applyFont="1" applyFill="1" applyBorder="1" applyAlignment="1">
      <alignment horizontal="left" vertical="center" wrapText="1"/>
      <protection/>
    </xf>
    <xf numFmtId="0" fontId="3" fillId="2" borderId="38" xfId="88" applyFont="1" applyFill="1" applyBorder="1" applyAlignment="1">
      <alignment horizontal="center" vertical="center" wrapText="1"/>
      <protection/>
    </xf>
    <xf numFmtId="0" fontId="3" fillId="2" borderId="40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0" fontId="3" fillId="40" borderId="20" xfId="88" applyFont="1" applyFill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0" xfId="88" applyFont="1" applyBorder="1" applyAlignment="1">
      <alignment horizontal="left" vertical="center" wrapText="1"/>
      <protection/>
    </xf>
    <xf numFmtId="0" fontId="3" fillId="2" borderId="35" xfId="88" applyFont="1" applyFill="1" applyBorder="1" applyAlignment="1">
      <alignment horizontal="center" vertical="center" wrapText="1"/>
      <protection/>
    </xf>
    <xf numFmtId="0" fontId="3" fillId="2" borderId="36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40" borderId="32" xfId="88" applyFont="1" applyFill="1" applyBorder="1" applyAlignment="1">
      <alignment horizontal="left" vertical="center" wrapText="1"/>
      <protection/>
    </xf>
    <xf numFmtId="0" fontId="9" fillId="2" borderId="42" xfId="88" applyFont="1" applyFill="1" applyBorder="1" applyAlignment="1">
      <alignment horizontal="center" vertical="center" wrapText="1"/>
      <protection/>
    </xf>
    <xf numFmtId="0" fontId="3" fillId="2" borderId="43" xfId="88" applyFont="1" applyFill="1" applyBorder="1" applyAlignment="1">
      <alignment horizontal="center" vertical="center" wrapText="1"/>
      <protection/>
    </xf>
    <xf numFmtId="0" fontId="3" fillId="2" borderId="44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5" fillId="0" borderId="0" xfId="88" applyFont="1" applyAlignment="1">
      <alignment horizontal="center" vertical="center" wrapText="1"/>
      <protection/>
    </xf>
    <xf numFmtId="0" fontId="4" fillId="2" borderId="26" xfId="88" applyFont="1" applyFill="1" applyBorder="1" applyAlignment="1">
      <alignment horizontal="center" vertical="center" wrapText="1"/>
      <protection/>
    </xf>
    <xf numFmtId="0" fontId="9" fillId="2" borderId="28" xfId="88" applyFont="1" applyFill="1" applyBorder="1" applyAlignment="1">
      <alignment horizontal="center" vertical="center" wrapText="1"/>
      <protection/>
    </xf>
    <xf numFmtId="0" fontId="4" fillId="0" borderId="0" xfId="88" applyFont="1" applyBorder="1" applyAlignment="1">
      <alignment horizontal="left" vertical="center" wrapText="1"/>
      <protection/>
    </xf>
    <xf numFmtId="0" fontId="4" fillId="0" borderId="40" xfId="88" applyFont="1" applyBorder="1" applyAlignment="1">
      <alignment horizontal="left" vertical="center" wrapText="1"/>
      <protection/>
    </xf>
    <xf numFmtId="0" fontId="4" fillId="2" borderId="19" xfId="88" applyFont="1" applyFill="1" applyBorder="1" applyAlignment="1">
      <alignment horizontal="center" vertical="center" wrapText="1"/>
      <protection/>
    </xf>
    <xf numFmtId="0" fontId="4" fillId="0" borderId="19" xfId="88" applyFont="1" applyBorder="1" applyAlignment="1">
      <alignment horizontal="left" vertical="center" wrapText="1"/>
      <protection/>
    </xf>
    <xf numFmtId="0" fontId="3" fillId="2" borderId="37" xfId="88" applyFont="1" applyFill="1" applyBorder="1" applyAlignment="1">
      <alignment horizontal="center" vertical="center" wrapText="1"/>
      <protection/>
    </xf>
    <xf numFmtId="0" fontId="3" fillId="2" borderId="39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40" borderId="19" xfId="88" applyFont="1" applyFill="1" applyBorder="1" applyAlignment="1">
      <alignment horizontal="left" vertical="center" wrapText="1"/>
      <protection/>
    </xf>
    <xf numFmtId="0" fontId="3" fillId="40" borderId="24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0" fontId="3" fillId="40" borderId="20" xfId="88" applyFont="1" applyFill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center" vertical="center" wrapText="1"/>
      <protection/>
    </xf>
    <xf numFmtId="0" fontId="3" fillId="0" borderId="23" xfId="88" applyFont="1" applyBorder="1" applyAlignment="1">
      <alignment horizontal="center" vertical="center" wrapText="1"/>
      <protection/>
    </xf>
    <xf numFmtId="0" fontId="3" fillId="0" borderId="20" xfId="88" applyFont="1" applyBorder="1" applyAlignment="1">
      <alignment horizontal="center" vertical="center" wrapText="1"/>
      <protection/>
    </xf>
    <xf numFmtId="0" fontId="3" fillId="40" borderId="24" xfId="88" applyFont="1" applyFill="1" applyBorder="1" applyAlignment="1">
      <alignment horizontal="center" vertical="center" wrapText="1"/>
      <protection/>
    </xf>
    <xf numFmtId="0" fontId="3" fillId="40" borderId="23" xfId="88" applyFont="1" applyFill="1" applyBorder="1" applyAlignment="1">
      <alignment horizontal="center" vertical="center" wrapText="1"/>
      <protection/>
    </xf>
    <xf numFmtId="0" fontId="3" fillId="40" borderId="20" xfId="88" applyFont="1" applyFill="1" applyBorder="1" applyAlignment="1">
      <alignment horizontal="center" vertical="center" wrapText="1"/>
      <protection/>
    </xf>
    <xf numFmtId="0" fontId="3" fillId="0" borderId="0" xfId="88" applyFont="1" applyBorder="1" applyAlignment="1">
      <alignment horizontal="left" vertical="center" wrapText="1"/>
      <protection/>
    </xf>
    <xf numFmtId="1" fontId="3" fillId="0" borderId="19" xfId="88" applyNumberFormat="1" applyFont="1" applyBorder="1" applyAlignment="1">
      <alignment horizontal="left" vertical="center" wrapText="1"/>
      <protection/>
    </xf>
    <xf numFmtId="0" fontId="3" fillId="2" borderId="34" xfId="88" applyFont="1" applyFill="1" applyBorder="1" applyAlignment="1">
      <alignment horizontal="center" vertical="center" wrapText="1"/>
      <protection/>
    </xf>
    <xf numFmtId="0" fontId="3" fillId="2" borderId="0" xfId="88" applyFont="1" applyFill="1" applyBorder="1" applyAlignment="1">
      <alignment horizontal="center" vertical="center" wrapText="1"/>
      <protection/>
    </xf>
    <xf numFmtId="0" fontId="3" fillId="2" borderId="41" xfId="88" applyFont="1" applyFill="1" applyBorder="1" applyAlignment="1">
      <alignment horizontal="center" vertical="center" wrapText="1"/>
      <protection/>
    </xf>
    <xf numFmtId="0" fontId="6" fillId="2" borderId="19" xfId="88" applyFont="1" applyFill="1" applyBorder="1" applyAlignment="1">
      <alignment horizontal="center" vertical="center" wrapText="1"/>
      <protection/>
    </xf>
    <xf numFmtId="0" fontId="6" fillId="2" borderId="35" xfId="88" applyFont="1" applyFill="1" applyBorder="1" applyAlignment="1">
      <alignment horizontal="center" vertical="center" wrapText="1"/>
      <protection/>
    </xf>
    <xf numFmtId="0" fontId="6" fillId="2" borderId="36" xfId="88" applyFont="1" applyFill="1" applyBorder="1" applyAlignment="1">
      <alignment horizontal="center" vertical="center" wrapText="1"/>
      <protection/>
    </xf>
    <xf numFmtId="0" fontId="6" fillId="2" borderId="21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7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16.375" style="2" customWidth="1"/>
    <col min="2" max="2" width="14.75390625" style="2" customWidth="1"/>
    <col min="3" max="3" width="15.125" style="2" customWidth="1"/>
    <col min="4" max="4" width="12.625" style="2" customWidth="1"/>
    <col min="5" max="5" width="11.375" style="2" customWidth="1"/>
    <col min="6" max="7" width="12.625" style="2" customWidth="1"/>
    <col min="8" max="8" width="12.00390625" style="2" customWidth="1"/>
    <col min="9" max="9" width="11.75390625" style="2" customWidth="1"/>
    <col min="10" max="10" width="13.00390625" style="2" customWidth="1"/>
    <col min="11" max="11" width="12.125" style="2" customWidth="1"/>
    <col min="12" max="12" width="13.25390625" style="2" customWidth="1"/>
    <col min="13" max="13" width="12.875" style="2" customWidth="1"/>
    <col min="14" max="14" width="12.00390625" style="2" customWidth="1"/>
    <col min="15" max="17" width="11.75390625" style="2" customWidth="1"/>
    <col min="18" max="16384" width="9.125" style="2" customWidth="1"/>
  </cols>
  <sheetData>
    <row r="1" spans="1:13" ht="75" customHeight="1">
      <c r="A1" s="65" t="str">
        <f>CONCATENATE("Informacja z wykonania budżetów jednostek samorządu terytorialnego za ",$C$95," ",$B$96," roku")</f>
        <v>Informacja z wykonania budżetów jednostek samorządu terytorialnego za II Kwartały 2021 roku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75" t="s">
        <v>134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5" spans="2:17" ht="13.5" customHeight="1">
      <c r="B5" s="3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38"/>
      <c r="O5" s="38"/>
      <c r="P5" s="38"/>
      <c r="Q5" s="38"/>
    </row>
    <row r="6" spans="1:17" ht="13.5" customHeight="1">
      <c r="A6" s="101" t="s">
        <v>0</v>
      </c>
      <c r="B6" s="66" t="s">
        <v>135</v>
      </c>
      <c r="C6" s="61" t="s">
        <v>139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1" t="s">
        <v>138</v>
      </c>
      <c r="P6" s="62"/>
      <c r="Q6" s="63"/>
    </row>
    <row r="7" spans="1:17" ht="13.5" customHeight="1">
      <c r="A7" s="102"/>
      <c r="B7" s="67"/>
      <c r="C7" s="68" t="s">
        <v>136</v>
      </c>
      <c r="D7" s="68" t="s">
        <v>149</v>
      </c>
      <c r="E7" s="68" t="s">
        <v>140</v>
      </c>
      <c r="F7" s="68" t="s">
        <v>141</v>
      </c>
      <c r="G7" s="68" t="s">
        <v>76</v>
      </c>
      <c r="H7" s="68" t="s">
        <v>77</v>
      </c>
      <c r="I7" s="98" t="s">
        <v>137</v>
      </c>
      <c r="J7" s="68" t="s">
        <v>59</v>
      </c>
      <c r="K7" s="68" t="s">
        <v>60</v>
      </c>
      <c r="L7" s="68" t="s">
        <v>61</v>
      </c>
      <c r="M7" s="68" t="s">
        <v>62</v>
      </c>
      <c r="N7" s="67" t="s">
        <v>63</v>
      </c>
      <c r="O7" s="64" t="s">
        <v>64</v>
      </c>
      <c r="P7" s="64" t="s">
        <v>65</v>
      </c>
      <c r="Q7" s="64" t="s">
        <v>66</v>
      </c>
    </row>
    <row r="8" spans="1:17" ht="13.5" customHeight="1">
      <c r="A8" s="102"/>
      <c r="B8" s="67"/>
      <c r="C8" s="64"/>
      <c r="D8" s="64"/>
      <c r="E8" s="64"/>
      <c r="F8" s="64"/>
      <c r="G8" s="64"/>
      <c r="H8" s="64"/>
      <c r="I8" s="98"/>
      <c r="J8" s="64"/>
      <c r="K8" s="64"/>
      <c r="L8" s="64"/>
      <c r="M8" s="64"/>
      <c r="N8" s="67"/>
      <c r="O8" s="64"/>
      <c r="P8" s="64"/>
      <c r="Q8" s="64"/>
    </row>
    <row r="9" spans="1:17" ht="13.5" customHeight="1">
      <c r="A9" s="102"/>
      <c r="B9" s="67"/>
      <c r="C9" s="64"/>
      <c r="D9" s="64"/>
      <c r="E9" s="64"/>
      <c r="F9" s="64"/>
      <c r="G9" s="64"/>
      <c r="H9" s="64"/>
      <c r="I9" s="98"/>
      <c r="J9" s="64"/>
      <c r="K9" s="64"/>
      <c r="L9" s="64"/>
      <c r="M9" s="64"/>
      <c r="N9" s="67"/>
      <c r="O9" s="64"/>
      <c r="P9" s="64"/>
      <c r="Q9" s="64"/>
    </row>
    <row r="10" spans="1:17" ht="11.25" customHeight="1">
      <c r="A10" s="102"/>
      <c r="B10" s="67"/>
      <c r="C10" s="64"/>
      <c r="D10" s="64"/>
      <c r="E10" s="64"/>
      <c r="F10" s="64"/>
      <c r="G10" s="64"/>
      <c r="H10" s="64"/>
      <c r="I10" s="98"/>
      <c r="J10" s="64"/>
      <c r="K10" s="64"/>
      <c r="L10" s="64"/>
      <c r="M10" s="64"/>
      <c r="N10" s="67"/>
      <c r="O10" s="64"/>
      <c r="P10" s="64"/>
      <c r="Q10" s="64"/>
    </row>
    <row r="11" spans="1:17" ht="27.75" customHeight="1">
      <c r="A11" s="103"/>
      <c r="B11" s="68"/>
      <c r="C11" s="64"/>
      <c r="D11" s="64"/>
      <c r="E11" s="64"/>
      <c r="F11" s="64"/>
      <c r="G11" s="64"/>
      <c r="H11" s="64"/>
      <c r="I11" s="99"/>
      <c r="J11" s="64"/>
      <c r="K11" s="64"/>
      <c r="L11" s="64"/>
      <c r="M11" s="64"/>
      <c r="N11" s="68"/>
      <c r="O11" s="64"/>
      <c r="P11" s="64"/>
      <c r="Q11" s="64"/>
    </row>
    <row r="12" spans="1:17" ht="13.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</row>
    <row r="13" spans="1:17" ht="52.5" customHeight="1">
      <c r="A13" s="51" t="s">
        <v>107</v>
      </c>
      <c r="B13" s="53">
        <f>87095988502.29</f>
        <v>87095988502.29</v>
      </c>
      <c r="C13" s="53">
        <f>64991946210.19</f>
        <v>64991946210.19</v>
      </c>
      <c r="D13" s="53">
        <f>3482970083.75</f>
        <v>3482970083.75</v>
      </c>
      <c r="E13" s="53">
        <f>659141284.96</f>
        <v>659141284.96</v>
      </c>
      <c r="F13" s="53">
        <f>581719099.47</f>
        <v>581719099.47</v>
      </c>
      <c r="G13" s="53">
        <f>2239631027.12</f>
        <v>2239631027.12</v>
      </c>
      <c r="H13" s="53">
        <f>2478672.2</f>
        <v>2478672.2</v>
      </c>
      <c r="I13" s="53">
        <f>0</f>
        <v>0</v>
      </c>
      <c r="J13" s="53">
        <f>57347799476.47</f>
        <v>57347799476.47</v>
      </c>
      <c r="K13" s="53">
        <f>2056842482.04</f>
        <v>2056842482.04</v>
      </c>
      <c r="L13" s="53">
        <f>2053736644.82</f>
        <v>2053736644.82</v>
      </c>
      <c r="M13" s="53">
        <f>37189113.15</f>
        <v>37189113.15</v>
      </c>
      <c r="N13" s="53">
        <f>13408409.96</f>
        <v>13408409.96</v>
      </c>
      <c r="O13" s="53">
        <f>22104042292.1</f>
        <v>22104042292.1</v>
      </c>
      <c r="P13" s="53">
        <f>22027341260.19</f>
        <v>22027341260.19</v>
      </c>
      <c r="Q13" s="53">
        <f>76701031.91</f>
        <v>76701031.91</v>
      </c>
    </row>
    <row r="14" spans="1:17" ht="41.25" customHeight="1">
      <c r="A14" s="51" t="s">
        <v>151</v>
      </c>
      <c r="B14" s="53">
        <f>3496474584.15</f>
        <v>3496474584.15</v>
      </c>
      <c r="C14" s="53">
        <f>3496474584.15</f>
        <v>3496474584.15</v>
      </c>
      <c r="D14" s="53">
        <f>513000</f>
        <v>513000</v>
      </c>
      <c r="E14" s="53">
        <f>0</f>
        <v>0</v>
      </c>
      <c r="F14" s="53">
        <f>0</f>
        <v>0</v>
      </c>
      <c r="G14" s="53">
        <f>513000</f>
        <v>513000</v>
      </c>
      <c r="H14" s="53">
        <f>0</f>
        <v>0</v>
      </c>
      <c r="I14" s="53">
        <f>0</f>
        <v>0</v>
      </c>
      <c r="J14" s="53">
        <f>3431623526.83</f>
        <v>3431623526.83</v>
      </c>
      <c r="K14" s="53">
        <f>60950000</f>
        <v>60950000</v>
      </c>
      <c r="L14" s="53">
        <f>3388057.32</f>
        <v>3388057.32</v>
      </c>
      <c r="M14" s="53">
        <f>0</f>
        <v>0</v>
      </c>
      <c r="N14" s="53">
        <f>0</f>
        <v>0</v>
      </c>
      <c r="O14" s="53">
        <f>0</f>
        <v>0</v>
      </c>
      <c r="P14" s="53">
        <f>0</f>
        <v>0</v>
      </c>
      <c r="Q14" s="53">
        <f>0</f>
        <v>0</v>
      </c>
    </row>
    <row r="15" spans="1:17" ht="22.5">
      <c r="A15" s="48" t="s">
        <v>109</v>
      </c>
      <c r="B15" s="54">
        <f>876772.56</f>
        <v>876772.56</v>
      </c>
      <c r="C15" s="54">
        <f>876772.56</f>
        <v>876772.56</v>
      </c>
      <c r="D15" s="54">
        <f>0</f>
        <v>0</v>
      </c>
      <c r="E15" s="54">
        <f>0</f>
        <v>0</v>
      </c>
      <c r="F15" s="54">
        <f>0</f>
        <v>0</v>
      </c>
      <c r="G15" s="54">
        <f>0</f>
        <v>0</v>
      </c>
      <c r="H15" s="54">
        <f>0</f>
        <v>0</v>
      </c>
      <c r="I15" s="54">
        <f>0</f>
        <v>0</v>
      </c>
      <c r="J15" s="54">
        <f>876772.56</f>
        <v>876772.56</v>
      </c>
      <c r="K15" s="54">
        <f>0</f>
        <v>0</v>
      </c>
      <c r="L15" s="54">
        <f>0</f>
        <v>0</v>
      </c>
      <c r="M15" s="54">
        <f>0</f>
        <v>0</v>
      </c>
      <c r="N15" s="54">
        <f>0</f>
        <v>0</v>
      </c>
      <c r="O15" s="54">
        <f>0</f>
        <v>0</v>
      </c>
      <c r="P15" s="54">
        <f>0</f>
        <v>0</v>
      </c>
      <c r="Q15" s="54">
        <f>0</f>
        <v>0</v>
      </c>
    </row>
    <row r="16" spans="1:17" ht="23.25" customHeight="1">
      <c r="A16" s="48" t="s">
        <v>110</v>
      </c>
      <c r="B16" s="54">
        <f>3495597811.59</f>
        <v>3495597811.59</v>
      </c>
      <c r="C16" s="54">
        <f>3495597811.59</f>
        <v>3495597811.59</v>
      </c>
      <c r="D16" s="54">
        <f>513000</f>
        <v>513000</v>
      </c>
      <c r="E16" s="54">
        <f>0</f>
        <v>0</v>
      </c>
      <c r="F16" s="54">
        <f>0</f>
        <v>0</v>
      </c>
      <c r="G16" s="54">
        <f>513000</f>
        <v>513000</v>
      </c>
      <c r="H16" s="54">
        <f>0</f>
        <v>0</v>
      </c>
      <c r="I16" s="54">
        <f>0</f>
        <v>0</v>
      </c>
      <c r="J16" s="54">
        <f>3430746754.27</f>
        <v>3430746754.27</v>
      </c>
      <c r="K16" s="54">
        <f>60950000</f>
        <v>60950000</v>
      </c>
      <c r="L16" s="54">
        <f>3388057.32</f>
        <v>3388057.32</v>
      </c>
      <c r="M16" s="54">
        <f>0</f>
        <v>0</v>
      </c>
      <c r="N16" s="54">
        <f>0</f>
        <v>0</v>
      </c>
      <c r="O16" s="54">
        <f>0</f>
        <v>0</v>
      </c>
      <c r="P16" s="54">
        <f>0</f>
        <v>0</v>
      </c>
      <c r="Q16" s="54">
        <f>0</f>
        <v>0</v>
      </c>
    </row>
    <row r="17" spans="1:17" ht="33" customHeight="1">
      <c r="A17" s="51" t="s">
        <v>152</v>
      </c>
      <c r="B17" s="53">
        <f>83538978436.83</f>
        <v>83538978436.83</v>
      </c>
      <c r="C17" s="53">
        <f>61434937936.64</f>
        <v>61434937936.64</v>
      </c>
      <c r="D17" s="53">
        <f>3460631016.8</f>
        <v>3460631016.8</v>
      </c>
      <c r="E17" s="53">
        <f>657219763.35</f>
        <v>657219763.35</v>
      </c>
      <c r="F17" s="53">
        <f>581296200.27</f>
        <v>581296200.27</v>
      </c>
      <c r="G17" s="53">
        <f>2222115053.18</f>
        <v>2222115053.18</v>
      </c>
      <c r="H17" s="53">
        <f>0</f>
        <v>0</v>
      </c>
      <c r="I17" s="53">
        <f>0</f>
        <v>0</v>
      </c>
      <c r="J17" s="53">
        <f>53916165920.44</f>
        <v>53916165920.44</v>
      </c>
      <c r="K17" s="53">
        <f>1995884340.08</f>
        <v>1995884340.08</v>
      </c>
      <c r="L17" s="53">
        <f>2036932220.99</f>
        <v>2036932220.99</v>
      </c>
      <c r="M17" s="53">
        <f>17606833.29</f>
        <v>17606833.29</v>
      </c>
      <c r="N17" s="53">
        <f>7717605.04</f>
        <v>7717605.04</v>
      </c>
      <c r="O17" s="53">
        <f>22104040500.19</f>
        <v>22104040500.19</v>
      </c>
      <c r="P17" s="53">
        <f>22027340500.19</f>
        <v>22027340500.19</v>
      </c>
      <c r="Q17" s="53">
        <f>76700000</f>
        <v>76700000</v>
      </c>
    </row>
    <row r="18" spans="1:17" ht="22.5">
      <c r="A18" s="48" t="s">
        <v>112</v>
      </c>
      <c r="B18" s="54">
        <f>445316186.4</f>
        <v>445316186.4</v>
      </c>
      <c r="C18" s="54">
        <f>445316186.4</f>
        <v>445316186.4</v>
      </c>
      <c r="D18" s="54">
        <f>26453415.7</f>
        <v>26453415.7</v>
      </c>
      <c r="E18" s="54">
        <f>7724144.64</f>
        <v>7724144.64</v>
      </c>
      <c r="F18" s="54">
        <f>1579496.12</f>
        <v>1579496.12</v>
      </c>
      <c r="G18" s="54">
        <f>17149774.94</f>
        <v>17149774.94</v>
      </c>
      <c r="H18" s="54">
        <f>0</f>
        <v>0</v>
      </c>
      <c r="I18" s="54">
        <f>0</f>
        <v>0</v>
      </c>
      <c r="J18" s="54">
        <f>405492944.84</f>
        <v>405492944.84</v>
      </c>
      <c r="K18" s="54">
        <f>11993332.56</f>
        <v>11993332.56</v>
      </c>
      <c r="L18" s="54">
        <f>154918</f>
        <v>154918</v>
      </c>
      <c r="M18" s="54">
        <f>1008340</f>
        <v>1008340</v>
      </c>
      <c r="N18" s="54">
        <f>213235.3</f>
        <v>213235.3</v>
      </c>
      <c r="O18" s="54">
        <f>0</f>
        <v>0</v>
      </c>
      <c r="P18" s="54">
        <f>0</f>
        <v>0</v>
      </c>
      <c r="Q18" s="54">
        <f>0</f>
        <v>0</v>
      </c>
    </row>
    <row r="19" spans="1:17" ht="24" customHeight="1">
      <c r="A19" s="48" t="s">
        <v>113</v>
      </c>
      <c r="B19" s="54">
        <f>83093662250.43</f>
        <v>83093662250.43</v>
      </c>
      <c r="C19" s="54">
        <f>60989621750.24</f>
        <v>60989621750.24</v>
      </c>
      <c r="D19" s="54">
        <f>3434177601.1</f>
        <v>3434177601.1</v>
      </c>
      <c r="E19" s="54">
        <f>649495618.71</f>
        <v>649495618.71</v>
      </c>
      <c r="F19" s="54">
        <f>579716704.15</f>
        <v>579716704.15</v>
      </c>
      <c r="G19" s="54">
        <f>2204965278.24</f>
        <v>2204965278.24</v>
      </c>
      <c r="H19" s="54">
        <f>0</f>
        <v>0</v>
      </c>
      <c r="I19" s="54">
        <f>0</f>
        <v>0</v>
      </c>
      <c r="J19" s="54">
        <f>53510672975.6</f>
        <v>53510672975.6</v>
      </c>
      <c r="K19" s="54">
        <f>1983891007.52</f>
        <v>1983891007.52</v>
      </c>
      <c r="L19" s="54">
        <f>2036777302.99</f>
        <v>2036777302.99</v>
      </c>
      <c r="M19" s="54">
        <f>16598493.29</f>
        <v>16598493.29</v>
      </c>
      <c r="N19" s="54">
        <f>7504369.74</f>
        <v>7504369.74</v>
      </c>
      <c r="O19" s="54">
        <f>22104040500.19</f>
        <v>22104040500.19</v>
      </c>
      <c r="P19" s="54">
        <f>22027340500.19</f>
        <v>22027340500.19</v>
      </c>
      <c r="Q19" s="54">
        <f>76700000</f>
        <v>76700000</v>
      </c>
    </row>
    <row r="20" spans="1:17" ht="24.75" customHeight="1">
      <c r="A20" s="58" t="s">
        <v>114</v>
      </c>
      <c r="B20" s="59">
        <f>0</f>
        <v>0</v>
      </c>
      <c r="C20" s="59">
        <f>0</f>
        <v>0</v>
      </c>
      <c r="D20" s="59">
        <f>0</f>
        <v>0</v>
      </c>
      <c r="E20" s="59">
        <f>0</f>
        <v>0</v>
      </c>
      <c r="F20" s="59">
        <f>0</f>
        <v>0</v>
      </c>
      <c r="G20" s="59">
        <f>0</f>
        <v>0</v>
      </c>
      <c r="H20" s="59">
        <f>0</f>
        <v>0</v>
      </c>
      <c r="I20" s="59">
        <f>0</f>
        <v>0</v>
      </c>
      <c r="J20" s="59">
        <f>0</f>
        <v>0</v>
      </c>
      <c r="K20" s="59">
        <f>0</f>
        <v>0</v>
      </c>
      <c r="L20" s="59">
        <f>0</f>
        <v>0</v>
      </c>
      <c r="M20" s="59">
        <f>0</f>
        <v>0</v>
      </c>
      <c r="N20" s="59">
        <f>0</f>
        <v>0</v>
      </c>
      <c r="O20" s="59">
        <f>0</f>
        <v>0</v>
      </c>
      <c r="P20" s="59">
        <f>0</f>
        <v>0</v>
      </c>
      <c r="Q20" s="59">
        <f>0</f>
        <v>0</v>
      </c>
    </row>
    <row r="21" spans="1:17" ht="38.25" customHeight="1">
      <c r="A21" s="52" t="s">
        <v>153</v>
      </c>
      <c r="B21" s="53">
        <f>60535481.31</f>
        <v>60535481.31</v>
      </c>
      <c r="C21" s="53">
        <f>60533689.4</f>
        <v>60533689.4</v>
      </c>
      <c r="D21" s="53">
        <f>21826066.95</f>
        <v>21826066.95</v>
      </c>
      <c r="E21" s="53">
        <f>1921521.61</f>
        <v>1921521.61</v>
      </c>
      <c r="F21" s="53">
        <f>422899.2</f>
        <v>422899.2</v>
      </c>
      <c r="G21" s="53">
        <f>17002973.94</f>
        <v>17002973.94</v>
      </c>
      <c r="H21" s="53">
        <f>2478672.2</f>
        <v>2478672.2</v>
      </c>
      <c r="I21" s="53">
        <f>0</f>
        <v>0</v>
      </c>
      <c r="J21" s="53">
        <f>10029.2</f>
        <v>10029.2</v>
      </c>
      <c r="K21" s="53">
        <f>8141.96</f>
        <v>8141.96</v>
      </c>
      <c r="L21" s="53">
        <f>13416366.51</f>
        <v>13416366.51</v>
      </c>
      <c r="M21" s="53">
        <f>19582279.86</f>
        <v>19582279.86</v>
      </c>
      <c r="N21" s="53">
        <f>5690804.92</f>
        <v>5690804.92</v>
      </c>
      <c r="O21" s="53">
        <f>1791.91</f>
        <v>1791.91</v>
      </c>
      <c r="P21" s="53">
        <f>760</f>
        <v>760</v>
      </c>
      <c r="Q21" s="53">
        <f>1031.91</f>
        <v>1031.91</v>
      </c>
    </row>
    <row r="22" spans="1:17" ht="33" customHeight="1">
      <c r="A22" s="49" t="s">
        <v>116</v>
      </c>
      <c r="B22" s="54">
        <f>32519911.53</f>
        <v>32519911.53</v>
      </c>
      <c r="C22" s="54">
        <f>32519911.53</f>
        <v>32519911.53</v>
      </c>
      <c r="D22" s="54">
        <f>4258771.32</f>
        <v>4258771.32</v>
      </c>
      <c r="E22" s="54">
        <f>1381903.19</f>
        <v>1381903.19</v>
      </c>
      <c r="F22" s="54">
        <f>386614.2</f>
        <v>386614.2</v>
      </c>
      <c r="G22" s="54">
        <f>2490253.93</f>
        <v>2490253.93</v>
      </c>
      <c r="H22" s="54">
        <f>0</f>
        <v>0</v>
      </c>
      <c r="I22" s="54">
        <f>0</f>
        <v>0</v>
      </c>
      <c r="J22" s="54">
        <f>0</f>
        <v>0</v>
      </c>
      <c r="K22" s="54">
        <f>2106.91</f>
        <v>2106.91</v>
      </c>
      <c r="L22" s="54">
        <f>11267199.78</f>
        <v>11267199.78</v>
      </c>
      <c r="M22" s="54">
        <f>12707667.54</f>
        <v>12707667.54</v>
      </c>
      <c r="N22" s="54">
        <f>4284165.98</f>
        <v>4284165.98</v>
      </c>
      <c r="O22" s="54">
        <f>0</f>
        <v>0</v>
      </c>
      <c r="P22" s="54">
        <f>0</f>
        <v>0</v>
      </c>
      <c r="Q22" s="54">
        <f>0</f>
        <v>0</v>
      </c>
    </row>
    <row r="23" spans="1:17" ht="23.25" customHeight="1">
      <c r="A23" s="49" t="s">
        <v>117</v>
      </c>
      <c r="B23" s="54">
        <f>28015569.78</f>
        <v>28015569.78</v>
      </c>
      <c r="C23" s="54">
        <f>28013777.87</f>
        <v>28013777.87</v>
      </c>
      <c r="D23" s="54">
        <f>17567295.63</f>
        <v>17567295.63</v>
      </c>
      <c r="E23" s="54">
        <f>539618.42</f>
        <v>539618.42</v>
      </c>
      <c r="F23" s="54">
        <f>36285</f>
        <v>36285</v>
      </c>
      <c r="G23" s="54">
        <f>14512720.01</f>
        <v>14512720.01</v>
      </c>
      <c r="H23" s="54">
        <f>2478672.2</f>
        <v>2478672.2</v>
      </c>
      <c r="I23" s="54">
        <f>0</f>
        <v>0</v>
      </c>
      <c r="J23" s="54">
        <f>10029.2</f>
        <v>10029.2</v>
      </c>
      <c r="K23" s="54">
        <f>6035.05</f>
        <v>6035.05</v>
      </c>
      <c r="L23" s="54">
        <f>2149166.73</f>
        <v>2149166.73</v>
      </c>
      <c r="M23" s="54">
        <f>6874612.32</f>
        <v>6874612.32</v>
      </c>
      <c r="N23" s="54">
        <f>1406638.94</f>
        <v>1406638.94</v>
      </c>
      <c r="O23" s="54">
        <f>1791.91</f>
        <v>1791.91</v>
      </c>
      <c r="P23" s="54">
        <f>760</f>
        <v>760</v>
      </c>
      <c r="Q23" s="54">
        <f>1031.91</f>
        <v>1031.91</v>
      </c>
    </row>
    <row r="24" spans="1:17" ht="19.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9.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9.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9.5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19.5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ht="19.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3" ht="45.75" customHeight="1">
      <c r="A30" s="65" t="str">
        <f>CONCATENATE("Informacja z wykonania budżetów jednostek samorządu terytorialnego za ",$C$95," ",$B$96," roku")</f>
        <v>Informacja z wykonania budżetów jednostek samorządu terytorialnego za II Kwartały 2021 roku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2" spans="1:13" ht="13.5" customHeight="1">
      <c r="A32" s="75" t="s">
        <v>52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4" spans="1:17" ht="13.5" customHeight="1">
      <c r="A34" s="101" t="s">
        <v>0</v>
      </c>
      <c r="B34" s="66" t="s">
        <v>53</v>
      </c>
      <c r="C34" s="104" t="s">
        <v>55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104" t="s">
        <v>73</v>
      </c>
      <c r="P34" s="105"/>
      <c r="Q34" s="106"/>
    </row>
    <row r="35" spans="1:17" ht="13.5" customHeight="1">
      <c r="A35" s="102"/>
      <c r="B35" s="67"/>
      <c r="C35" s="67" t="s">
        <v>54</v>
      </c>
      <c r="D35" s="64" t="s">
        <v>57</v>
      </c>
      <c r="E35" s="64" t="s">
        <v>74</v>
      </c>
      <c r="F35" s="64" t="s">
        <v>75</v>
      </c>
      <c r="G35" s="64" t="s">
        <v>145</v>
      </c>
      <c r="H35" s="64" t="s">
        <v>77</v>
      </c>
      <c r="I35" s="64" t="s">
        <v>4</v>
      </c>
      <c r="J35" s="64" t="s">
        <v>59</v>
      </c>
      <c r="K35" s="64" t="s">
        <v>60</v>
      </c>
      <c r="L35" s="64" t="s">
        <v>61</v>
      </c>
      <c r="M35" s="64" t="s">
        <v>62</v>
      </c>
      <c r="N35" s="69" t="s">
        <v>63</v>
      </c>
      <c r="O35" s="64" t="s">
        <v>64</v>
      </c>
      <c r="P35" s="64" t="s">
        <v>65</v>
      </c>
      <c r="Q35" s="66" t="s">
        <v>66</v>
      </c>
    </row>
    <row r="36" spans="1:17" ht="13.5" customHeight="1">
      <c r="A36" s="102"/>
      <c r="B36" s="67"/>
      <c r="C36" s="67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9"/>
      <c r="O36" s="64"/>
      <c r="P36" s="64"/>
      <c r="Q36" s="67"/>
    </row>
    <row r="37" spans="1:17" ht="11.25" customHeight="1">
      <c r="A37" s="102"/>
      <c r="B37" s="67"/>
      <c r="C37" s="67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9"/>
      <c r="O37" s="64"/>
      <c r="P37" s="64"/>
      <c r="Q37" s="67"/>
    </row>
    <row r="38" spans="1:17" ht="32.25" customHeight="1">
      <c r="A38" s="103"/>
      <c r="B38" s="68"/>
      <c r="C38" s="68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9"/>
      <c r="O38" s="64"/>
      <c r="P38" s="64"/>
      <c r="Q38" s="68"/>
    </row>
    <row r="39" spans="1:17" ht="13.5" customHeight="1">
      <c r="A39" s="41">
        <v>1</v>
      </c>
      <c r="B39" s="41">
        <v>2</v>
      </c>
      <c r="C39" s="41">
        <v>3</v>
      </c>
      <c r="D39" s="41">
        <v>4</v>
      </c>
      <c r="E39" s="41">
        <v>5</v>
      </c>
      <c r="F39" s="41">
        <v>6</v>
      </c>
      <c r="G39" s="41">
        <v>7</v>
      </c>
      <c r="H39" s="41">
        <v>8</v>
      </c>
      <c r="I39" s="41">
        <v>9</v>
      </c>
      <c r="J39" s="41">
        <v>10</v>
      </c>
      <c r="K39" s="41">
        <v>11</v>
      </c>
      <c r="L39" s="41">
        <v>12</v>
      </c>
      <c r="M39" s="41">
        <v>13</v>
      </c>
      <c r="N39" s="41">
        <v>14</v>
      </c>
      <c r="O39" s="41">
        <v>15</v>
      </c>
      <c r="P39" s="41">
        <v>16</v>
      </c>
      <c r="Q39" s="41">
        <v>17</v>
      </c>
    </row>
    <row r="40" spans="1:17" ht="27.75" customHeight="1" hidden="1">
      <c r="A40" s="42" t="s">
        <v>79</v>
      </c>
      <c r="B40" s="43">
        <f>0</f>
        <v>0</v>
      </c>
      <c r="C40" s="43">
        <f>0</f>
        <v>0</v>
      </c>
      <c r="D40" s="43">
        <f>0</f>
        <v>0</v>
      </c>
      <c r="E40" s="43">
        <f>0</f>
        <v>0</v>
      </c>
      <c r="F40" s="43">
        <f>0</f>
        <v>0</v>
      </c>
      <c r="G40" s="43">
        <f>0</f>
        <v>0</v>
      </c>
      <c r="H40" s="43">
        <f>0</f>
        <v>0</v>
      </c>
      <c r="I40" s="43">
        <f>0</f>
        <v>0</v>
      </c>
      <c r="J40" s="43">
        <f>0</f>
        <v>0</v>
      </c>
      <c r="K40" s="43">
        <f>0</f>
        <v>0</v>
      </c>
      <c r="L40" s="43">
        <f>0</f>
        <v>0</v>
      </c>
      <c r="M40" s="43">
        <f>0</f>
        <v>0</v>
      </c>
      <c r="N40" s="43">
        <f>0</f>
        <v>0</v>
      </c>
      <c r="O40" s="43">
        <f>0</f>
        <v>0</v>
      </c>
      <c r="P40" s="43">
        <f>0</f>
        <v>0</v>
      </c>
      <c r="Q40" s="43">
        <f>0</f>
        <v>0</v>
      </c>
    </row>
    <row r="41" spans="1:17" ht="35.25" customHeight="1">
      <c r="A41" s="60" t="s">
        <v>92</v>
      </c>
      <c r="B41" s="55">
        <f>3164345.11</f>
        <v>3164345.11</v>
      </c>
      <c r="C41" s="55">
        <f>3164345.11</f>
        <v>3164345.11</v>
      </c>
      <c r="D41" s="55">
        <f>56186.64</f>
        <v>56186.64</v>
      </c>
      <c r="E41" s="55">
        <f>50002</f>
        <v>50002</v>
      </c>
      <c r="F41" s="55">
        <f>0</f>
        <v>0</v>
      </c>
      <c r="G41" s="55">
        <f>6184.64</f>
        <v>6184.64</v>
      </c>
      <c r="H41" s="55">
        <f>0</f>
        <v>0</v>
      </c>
      <c r="I41" s="55">
        <f>0</f>
        <v>0</v>
      </c>
      <c r="J41" s="55">
        <f>130605.2</f>
        <v>130605.2</v>
      </c>
      <c r="K41" s="55">
        <f>24850</f>
        <v>24850</v>
      </c>
      <c r="L41" s="55">
        <f>1944587.72</f>
        <v>1944587.72</v>
      </c>
      <c r="M41" s="55">
        <f>925110.26</f>
        <v>925110.26</v>
      </c>
      <c r="N41" s="55">
        <f>83005.29</f>
        <v>83005.29</v>
      </c>
      <c r="O41" s="55">
        <f>0</f>
        <v>0</v>
      </c>
      <c r="P41" s="55">
        <f>0</f>
        <v>0</v>
      </c>
      <c r="Q41" s="55">
        <f>0</f>
        <v>0</v>
      </c>
    </row>
    <row r="42" spans="1:17" ht="28.5" customHeight="1">
      <c r="A42" s="50" t="s">
        <v>80</v>
      </c>
      <c r="B42" s="56">
        <f>2312099.63</f>
        <v>2312099.63</v>
      </c>
      <c r="C42" s="56">
        <f>2312099.63</f>
        <v>2312099.63</v>
      </c>
      <c r="D42" s="56">
        <f>6186.64</f>
        <v>6186.64</v>
      </c>
      <c r="E42" s="56">
        <f>2</f>
        <v>2</v>
      </c>
      <c r="F42" s="56">
        <f>0</f>
        <v>0</v>
      </c>
      <c r="G42" s="56">
        <f>6184.64</f>
        <v>6184.64</v>
      </c>
      <c r="H42" s="56">
        <f>0</f>
        <v>0</v>
      </c>
      <c r="I42" s="56">
        <f>0</f>
        <v>0</v>
      </c>
      <c r="J42" s="56">
        <f>13821</f>
        <v>13821</v>
      </c>
      <c r="K42" s="56">
        <f>0</f>
        <v>0</v>
      </c>
      <c r="L42" s="56">
        <f>1449975.26</f>
        <v>1449975.26</v>
      </c>
      <c r="M42" s="56">
        <f>759111.44</f>
        <v>759111.44</v>
      </c>
      <c r="N42" s="56">
        <f>83005.29</f>
        <v>83005.29</v>
      </c>
      <c r="O42" s="56">
        <f>0</f>
        <v>0</v>
      </c>
      <c r="P42" s="56">
        <f>0</f>
        <v>0</v>
      </c>
      <c r="Q42" s="56">
        <f>0</f>
        <v>0</v>
      </c>
    </row>
    <row r="43" spans="1:17" ht="28.5" customHeight="1">
      <c r="A43" s="50" t="s">
        <v>81</v>
      </c>
      <c r="B43" s="56">
        <f>852245.48</f>
        <v>852245.48</v>
      </c>
      <c r="C43" s="56">
        <f>852245.48</f>
        <v>852245.48</v>
      </c>
      <c r="D43" s="56">
        <f>50000</f>
        <v>50000</v>
      </c>
      <c r="E43" s="56">
        <f>50000</f>
        <v>50000</v>
      </c>
      <c r="F43" s="56">
        <f>0</f>
        <v>0</v>
      </c>
      <c r="G43" s="56">
        <f>0</f>
        <v>0</v>
      </c>
      <c r="H43" s="56">
        <f>0</f>
        <v>0</v>
      </c>
      <c r="I43" s="56">
        <f>0</f>
        <v>0</v>
      </c>
      <c r="J43" s="56">
        <f>116784.2</f>
        <v>116784.2</v>
      </c>
      <c r="K43" s="56">
        <f>24850</f>
        <v>24850</v>
      </c>
      <c r="L43" s="56">
        <f>494612.46</f>
        <v>494612.46</v>
      </c>
      <c r="M43" s="56">
        <f>165998.82</f>
        <v>165998.82</v>
      </c>
      <c r="N43" s="56">
        <f>0</f>
        <v>0</v>
      </c>
      <c r="O43" s="56">
        <f>0</f>
        <v>0</v>
      </c>
      <c r="P43" s="56">
        <f>0</f>
        <v>0</v>
      </c>
      <c r="Q43" s="56">
        <f>0</f>
        <v>0</v>
      </c>
    </row>
    <row r="44" spans="1:17" ht="28.5" customHeight="1">
      <c r="A44" s="60" t="s">
        <v>93</v>
      </c>
      <c r="B44" s="55">
        <f>1440568306.27</f>
        <v>1440568306.27</v>
      </c>
      <c r="C44" s="55">
        <f>1440516878.02</f>
        <v>1440516878.02</v>
      </c>
      <c r="D44" s="55">
        <f>530709507.8</f>
        <v>530709507.8</v>
      </c>
      <c r="E44" s="55">
        <f>627058.04</f>
        <v>627058.04</v>
      </c>
      <c r="F44" s="55">
        <f>3355398.54</f>
        <v>3355398.54</v>
      </c>
      <c r="G44" s="55">
        <f>510627051.22</f>
        <v>510627051.22</v>
      </c>
      <c r="H44" s="55">
        <f>16100000</f>
        <v>16100000</v>
      </c>
      <c r="I44" s="55">
        <f>0</f>
        <v>0</v>
      </c>
      <c r="J44" s="55">
        <f>17805221.59</f>
        <v>17805221.59</v>
      </c>
      <c r="K44" s="55">
        <f>264156.75</f>
        <v>264156.75</v>
      </c>
      <c r="L44" s="55">
        <f>434534629.49</f>
        <v>434534629.49</v>
      </c>
      <c r="M44" s="55">
        <f>423667797.09</f>
        <v>423667797.09</v>
      </c>
      <c r="N44" s="55">
        <f>33535565.3</f>
        <v>33535565.3</v>
      </c>
      <c r="O44" s="55">
        <f>51428.25</f>
        <v>51428.25</v>
      </c>
      <c r="P44" s="55">
        <f>3883.66</f>
        <v>3883.66</v>
      </c>
      <c r="Q44" s="55">
        <f>47544.59</f>
        <v>47544.59</v>
      </c>
    </row>
    <row r="45" spans="1:17" ht="32.25" customHeight="1">
      <c r="A45" s="50" t="s">
        <v>82</v>
      </c>
      <c r="B45" s="56">
        <f>150781432.45</f>
        <v>150781432.45</v>
      </c>
      <c r="C45" s="56">
        <f>150733929.85</f>
        <v>150733929.85</v>
      </c>
      <c r="D45" s="56">
        <f>65963862.34</f>
        <v>65963862.34</v>
      </c>
      <c r="E45" s="56">
        <f>308917.76</f>
        <v>308917.76</v>
      </c>
      <c r="F45" s="56">
        <f>2700000</f>
        <v>2700000</v>
      </c>
      <c r="G45" s="56">
        <f>46854944.58</f>
        <v>46854944.58</v>
      </c>
      <c r="H45" s="56">
        <f>16100000</f>
        <v>16100000</v>
      </c>
      <c r="I45" s="56">
        <f>0</f>
        <v>0</v>
      </c>
      <c r="J45" s="56">
        <f>32339</f>
        <v>32339</v>
      </c>
      <c r="K45" s="56">
        <f>106188.47</f>
        <v>106188.47</v>
      </c>
      <c r="L45" s="56">
        <f>31313191.43</f>
        <v>31313191.43</v>
      </c>
      <c r="M45" s="56">
        <f>42810483.49</f>
        <v>42810483.49</v>
      </c>
      <c r="N45" s="56">
        <f>10507865.12</f>
        <v>10507865.12</v>
      </c>
      <c r="O45" s="56">
        <f>47502.6</f>
        <v>47502.6</v>
      </c>
      <c r="P45" s="56">
        <f>0</f>
        <v>0</v>
      </c>
      <c r="Q45" s="56">
        <f>47502.6</f>
        <v>47502.6</v>
      </c>
    </row>
    <row r="46" spans="1:17" ht="32.25" customHeight="1">
      <c r="A46" s="50" t="s">
        <v>83</v>
      </c>
      <c r="B46" s="56">
        <f>1289786873.82</f>
        <v>1289786873.82</v>
      </c>
      <c r="C46" s="56">
        <f>1289782948.17</f>
        <v>1289782948.17</v>
      </c>
      <c r="D46" s="56">
        <f>464745645.46</f>
        <v>464745645.46</v>
      </c>
      <c r="E46" s="56">
        <f>318140.28</f>
        <v>318140.28</v>
      </c>
      <c r="F46" s="56">
        <f>655398.54</f>
        <v>655398.54</v>
      </c>
      <c r="G46" s="56">
        <f>463772106.64</f>
        <v>463772106.64</v>
      </c>
      <c r="H46" s="56">
        <f>0</f>
        <v>0</v>
      </c>
      <c r="I46" s="56">
        <f>0</f>
        <v>0</v>
      </c>
      <c r="J46" s="56">
        <f>17772882.59</f>
        <v>17772882.59</v>
      </c>
      <c r="K46" s="56">
        <f>157968.28</f>
        <v>157968.28</v>
      </c>
      <c r="L46" s="56">
        <f>403221438.06</f>
        <v>403221438.06</v>
      </c>
      <c r="M46" s="56">
        <f>380857313.6</f>
        <v>380857313.6</v>
      </c>
      <c r="N46" s="56">
        <f>23027700.18</f>
        <v>23027700.18</v>
      </c>
      <c r="O46" s="56">
        <f>3925.65</f>
        <v>3925.65</v>
      </c>
      <c r="P46" s="56">
        <f>3883.66</f>
        <v>3883.66</v>
      </c>
      <c r="Q46" s="56">
        <f>41.99</f>
        <v>41.99</v>
      </c>
    </row>
    <row r="47" spans="1:17" ht="35.25" customHeight="1">
      <c r="A47" s="60" t="s">
        <v>94</v>
      </c>
      <c r="B47" s="55">
        <f>51754412217.68</f>
        <v>51754412217.68</v>
      </c>
      <c r="C47" s="55">
        <f>51754229879.55</f>
        <v>51754229879.55</v>
      </c>
      <c r="D47" s="55">
        <f>45289448.43</f>
        <v>45289448.43</v>
      </c>
      <c r="E47" s="55">
        <f>15845114.36</f>
        <v>15845114.36</v>
      </c>
      <c r="F47" s="55">
        <f>42464.39</f>
        <v>42464.39</v>
      </c>
      <c r="G47" s="55">
        <f>29401869.68</f>
        <v>29401869.68</v>
      </c>
      <c r="H47" s="55">
        <f>0</f>
        <v>0</v>
      </c>
      <c r="I47" s="55">
        <f>33098307.81</f>
        <v>33098307.81</v>
      </c>
      <c r="J47" s="55">
        <f>51668893519.86</f>
        <v>51668893519.86</v>
      </c>
      <c r="K47" s="55">
        <f>96918</f>
        <v>96918</v>
      </c>
      <c r="L47" s="55">
        <f>6448008.63</f>
        <v>6448008.63</v>
      </c>
      <c r="M47" s="55">
        <f>132440.74</f>
        <v>132440.74</v>
      </c>
      <c r="N47" s="55">
        <f>271236.08</f>
        <v>271236.08</v>
      </c>
      <c r="O47" s="55">
        <f>182338.13</f>
        <v>182338.13</v>
      </c>
      <c r="P47" s="55">
        <f>182338.13</f>
        <v>182338.13</v>
      </c>
      <c r="Q47" s="55">
        <f>0</f>
        <v>0</v>
      </c>
    </row>
    <row r="48" spans="1:17" ht="28.5" customHeight="1">
      <c r="A48" s="50" t="s">
        <v>84</v>
      </c>
      <c r="B48" s="56">
        <f>19135649.29</f>
        <v>19135649.29</v>
      </c>
      <c r="C48" s="56">
        <f>19135649.29</f>
        <v>19135649.29</v>
      </c>
      <c r="D48" s="56">
        <f>19135649.29</f>
        <v>19135649.29</v>
      </c>
      <c r="E48" s="56">
        <f>0</f>
        <v>0</v>
      </c>
      <c r="F48" s="56">
        <f>0</f>
        <v>0</v>
      </c>
      <c r="G48" s="56">
        <f>19135649.29</f>
        <v>19135649.29</v>
      </c>
      <c r="H48" s="56">
        <f>0</f>
        <v>0</v>
      </c>
      <c r="I48" s="56">
        <f>0</f>
        <v>0</v>
      </c>
      <c r="J48" s="56">
        <f>0</f>
        <v>0</v>
      </c>
      <c r="K48" s="56">
        <f>0</f>
        <v>0</v>
      </c>
      <c r="L48" s="56">
        <f>0</f>
        <v>0</v>
      </c>
      <c r="M48" s="56">
        <f>0</f>
        <v>0</v>
      </c>
      <c r="N48" s="56">
        <f>0</f>
        <v>0</v>
      </c>
      <c r="O48" s="56">
        <f>0</f>
        <v>0</v>
      </c>
      <c r="P48" s="56">
        <f>0</f>
        <v>0</v>
      </c>
      <c r="Q48" s="56">
        <f>0</f>
        <v>0</v>
      </c>
    </row>
    <row r="49" spans="1:17" ht="28.5" customHeight="1">
      <c r="A49" s="50" t="s">
        <v>85</v>
      </c>
      <c r="B49" s="56">
        <f>46774447775.18</f>
        <v>46774447775.18</v>
      </c>
      <c r="C49" s="56">
        <f>46774447775.18</f>
        <v>46774447775.18</v>
      </c>
      <c r="D49" s="56">
        <f>25840105.03</f>
        <v>25840105.03</v>
      </c>
      <c r="E49" s="56">
        <f>15747464.02</f>
        <v>15747464.02</v>
      </c>
      <c r="F49" s="56">
        <f>7678.81</f>
        <v>7678.81</v>
      </c>
      <c r="G49" s="56">
        <f>10084962.2</f>
        <v>10084962.2</v>
      </c>
      <c r="H49" s="56">
        <f>0</f>
        <v>0</v>
      </c>
      <c r="I49" s="56">
        <f>33045891.81</f>
        <v>33045891.81</v>
      </c>
      <c r="J49" s="56">
        <f>46710497507.98</f>
        <v>46710497507.98</v>
      </c>
      <c r="K49" s="56">
        <f>85901.14</f>
        <v>85901.14</v>
      </c>
      <c r="L49" s="56">
        <f>4873953.77</f>
        <v>4873953.77</v>
      </c>
      <c r="M49" s="56">
        <f>10132.33</f>
        <v>10132.33</v>
      </c>
      <c r="N49" s="56">
        <f>94283.12</f>
        <v>94283.12</v>
      </c>
      <c r="O49" s="56">
        <f>0</f>
        <v>0</v>
      </c>
      <c r="P49" s="56">
        <f>0</f>
        <v>0</v>
      </c>
      <c r="Q49" s="56">
        <f>0</f>
        <v>0</v>
      </c>
    </row>
    <row r="50" spans="1:17" ht="28.5" customHeight="1">
      <c r="A50" s="50" t="s">
        <v>86</v>
      </c>
      <c r="B50" s="56">
        <f>4960828793.21</f>
        <v>4960828793.21</v>
      </c>
      <c r="C50" s="56">
        <f>4960646455.08</f>
        <v>4960646455.08</v>
      </c>
      <c r="D50" s="56">
        <f>313694.11</f>
        <v>313694.11</v>
      </c>
      <c r="E50" s="56">
        <f>97650.34</f>
        <v>97650.34</v>
      </c>
      <c r="F50" s="56">
        <f>34785.58</f>
        <v>34785.58</v>
      </c>
      <c r="G50" s="56">
        <f>181258.19</f>
        <v>181258.19</v>
      </c>
      <c r="H50" s="56">
        <f>0</f>
        <v>0</v>
      </c>
      <c r="I50" s="56">
        <f>52416</f>
        <v>52416</v>
      </c>
      <c r="J50" s="56">
        <f>4958396011.88</f>
        <v>4958396011.88</v>
      </c>
      <c r="K50" s="56">
        <f>11016.86</f>
        <v>11016.86</v>
      </c>
      <c r="L50" s="56">
        <f>1574054.86</f>
        <v>1574054.86</v>
      </c>
      <c r="M50" s="56">
        <f>122308.41</f>
        <v>122308.41</v>
      </c>
      <c r="N50" s="56">
        <f>176952.96</f>
        <v>176952.96</v>
      </c>
      <c r="O50" s="56">
        <f>182338.13</f>
        <v>182338.13</v>
      </c>
      <c r="P50" s="56">
        <f>182338.13</f>
        <v>182338.13</v>
      </c>
      <c r="Q50" s="56">
        <f>0</f>
        <v>0</v>
      </c>
    </row>
    <row r="51" spans="1:17" ht="35.25" customHeight="1">
      <c r="A51" s="60" t="s">
        <v>95</v>
      </c>
      <c r="B51" s="55">
        <f>24234247494.82</f>
        <v>24234247494.82</v>
      </c>
      <c r="C51" s="55">
        <f>24186132180.27</f>
        <v>24186132180.27</v>
      </c>
      <c r="D51" s="55">
        <f>562740785.18</f>
        <v>562740785.18</v>
      </c>
      <c r="E51" s="55">
        <f>223794554.23</f>
        <v>223794554.23</v>
      </c>
      <c r="F51" s="55">
        <f>17188159.95</f>
        <v>17188159.95</v>
      </c>
      <c r="G51" s="55">
        <f>317463413.7</f>
        <v>317463413.7</v>
      </c>
      <c r="H51" s="55">
        <f>4294657.3</f>
        <v>4294657.3</v>
      </c>
      <c r="I51" s="55">
        <f>4</f>
        <v>4</v>
      </c>
      <c r="J51" s="55">
        <f>9186325.58</f>
        <v>9186325.58</v>
      </c>
      <c r="K51" s="55">
        <f>32727472.95</f>
        <v>32727472.95</v>
      </c>
      <c r="L51" s="55">
        <f>6355869764.37</f>
        <v>6355869764.37</v>
      </c>
      <c r="M51" s="55">
        <f>17081237305.16</f>
        <v>17081237305.16</v>
      </c>
      <c r="N51" s="55">
        <f>144370523.03</f>
        <v>144370523.03</v>
      </c>
      <c r="O51" s="55">
        <f>48115314.55</f>
        <v>48115314.55</v>
      </c>
      <c r="P51" s="55">
        <f>29334711.69</f>
        <v>29334711.69</v>
      </c>
      <c r="Q51" s="55">
        <f>18780602.86</f>
        <v>18780602.86</v>
      </c>
    </row>
    <row r="52" spans="1:17" ht="28.5" customHeight="1">
      <c r="A52" s="50" t="s">
        <v>87</v>
      </c>
      <c r="B52" s="56">
        <f>6852700522.89</f>
        <v>6852700522.89</v>
      </c>
      <c r="C52" s="56">
        <f>6850984959.69</f>
        <v>6850984959.69</v>
      </c>
      <c r="D52" s="56">
        <f>82061565.93</f>
        <v>82061565.93</v>
      </c>
      <c r="E52" s="56">
        <f>2986621.47</f>
        <v>2986621.47</v>
      </c>
      <c r="F52" s="56">
        <f>763033.33</f>
        <v>763033.33</v>
      </c>
      <c r="G52" s="56">
        <f>77488471.9</f>
        <v>77488471.9</v>
      </c>
      <c r="H52" s="56">
        <f>823439.23</f>
        <v>823439.23</v>
      </c>
      <c r="I52" s="56">
        <f>0</f>
        <v>0</v>
      </c>
      <c r="J52" s="56">
        <f>764628.21</f>
        <v>764628.21</v>
      </c>
      <c r="K52" s="56">
        <f>6156503.16</f>
        <v>6156503.16</v>
      </c>
      <c r="L52" s="56">
        <f>1010729005.04</f>
        <v>1010729005.04</v>
      </c>
      <c r="M52" s="56">
        <f>5709918327.35</f>
        <v>5709918327.35</v>
      </c>
      <c r="N52" s="56">
        <f>41354930</f>
        <v>41354930</v>
      </c>
      <c r="O52" s="56">
        <f>1715563.2</f>
        <v>1715563.2</v>
      </c>
      <c r="P52" s="56">
        <f>568284.79</f>
        <v>568284.79</v>
      </c>
      <c r="Q52" s="56">
        <f>1147278.41</f>
        <v>1147278.41</v>
      </c>
    </row>
    <row r="53" spans="1:17" ht="28.5" customHeight="1">
      <c r="A53" s="50" t="s">
        <v>88</v>
      </c>
      <c r="B53" s="56">
        <f>17381546971.93</f>
        <v>17381546971.93</v>
      </c>
      <c r="C53" s="56">
        <f>17335147220.58</f>
        <v>17335147220.58</v>
      </c>
      <c r="D53" s="56">
        <f>480679219.25</f>
        <v>480679219.25</v>
      </c>
      <c r="E53" s="56">
        <f>220807932.76</f>
        <v>220807932.76</v>
      </c>
      <c r="F53" s="56">
        <f>16425126.62</f>
        <v>16425126.62</v>
      </c>
      <c r="G53" s="56">
        <f>239974941.8</f>
        <v>239974941.8</v>
      </c>
      <c r="H53" s="56">
        <f>3471218.07</f>
        <v>3471218.07</v>
      </c>
      <c r="I53" s="56">
        <f>4</f>
        <v>4</v>
      </c>
      <c r="J53" s="56">
        <f>8421697.37</f>
        <v>8421697.37</v>
      </c>
      <c r="K53" s="56">
        <f>26570969.79</f>
        <v>26570969.79</v>
      </c>
      <c r="L53" s="56">
        <f>5345140759.33</f>
        <v>5345140759.33</v>
      </c>
      <c r="M53" s="56">
        <f>11371318977.81</f>
        <v>11371318977.81</v>
      </c>
      <c r="N53" s="56">
        <f>103015593.03</f>
        <v>103015593.03</v>
      </c>
      <c r="O53" s="56">
        <f>46399751.35</f>
        <v>46399751.35</v>
      </c>
      <c r="P53" s="56">
        <f>28766426.9</f>
        <v>28766426.9</v>
      </c>
      <c r="Q53" s="56">
        <f>17633324.45</f>
        <v>17633324.45</v>
      </c>
    </row>
    <row r="54" spans="1:17" ht="35.25" customHeight="1">
      <c r="A54" s="60" t="s">
        <v>96</v>
      </c>
      <c r="B54" s="55">
        <f>24904732169.91</f>
        <v>24904732169.91</v>
      </c>
      <c r="C54" s="55">
        <f>24829901238.05</f>
        <v>24829901238.05</v>
      </c>
      <c r="D54" s="55">
        <f>3564860591.26</f>
        <v>3564860591.26</v>
      </c>
      <c r="E54" s="55">
        <f>2562090774.37</f>
        <v>2562090774.37</v>
      </c>
      <c r="F54" s="55">
        <f>102711669.27</f>
        <v>102711669.27</v>
      </c>
      <c r="G54" s="55">
        <f>863932064.2</f>
        <v>863932064.2</v>
      </c>
      <c r="H54" s="55">
        <f>36126083.42</f>
        <v>36126083.42</v>
      </c>
      <c r="I54" s="55">
        <f>2360451.04</f>
        <v>2360451.04</v>
      </c>
      <c r="J54" s="55">
        <f>27535541.4</f>
        <v>27535541.4</v>
      </c>
      <c r="K54" s="55">
        <f>70140083.04</f>
        <v>70140083.04</v>
      </c>
      <c r="L54" s="55">
        <f>13123530430.26</f>
        <v>13123530430.26</v>
      </c>
      <c r="M54" s="55">
        <f>7689049308.88</f>
        <v>7689049308.88</v>
      </c>
      <c r="N54" s="55">
        <f>352424832.17</f>
        <v>352424832.17</v>
      </c>
      <c r="O54" s="55">
        <f>74830931.86</f>
        <v>74830931.86</v>
      </c>
      <c r="P54" s="55">
        <f>29331127.57</f>
        <v>29331127.57</v>
      </c>
      <c r="Q54" s="55">
        <f>45499804.29</f>
        <v>45499804.29</v>
      </c>
    </row>
    <row r="55" spans="1:17" ht="28.5" customHeight="1">
      <c r="A55" s="50" t="s">
        <v>89</v>
      </c>
      <c r="B55" s="56">
        <f>1428351040.21</f>
        <v>1428351040.21</v>
      </c>
      <c r="C55" s="56">
        <f>1383223680.49</f>
        <v>1383223680.49</v>
      </c>
      <c r="D55" s="56">
        <f>112228128.76</f>
        <v>112228128.76</v>
      </c>
      <c r="E55" s="56">
        <f>11497556.95</f>
        <v>11497556.95</v>
      </c>
      <c r="F55" s="56">
        <f>2973316.29</f>
        <v>2973316.29</v>
      </c>
      <c r="G55" s="56">
        <f>94590078.98</f>
        <v>94590078.98</v>
      </c>
      <c r="H55" s="56">
        <f>3167176.54</f>
        <v>3167176.54</v>
      </c>
      <c r="I55" s="56">
        <f>0</f>
        <v>0</v>
      </c>
      <c r="J55" s="56">
        <f>1543790.95</f>
        <v>1543790.95</v>
      </c>
      <c r="K55" s="56">
        <f>2409707.62</f>
        <v>2409707.62</v>
      </c>
      <c r="L55" s="56">
        <f>537173718.43</f>
        <v>537173718.43</v>
      </c>
      <c r="M55" s="56">
        <f>713529540.82</f>
        <v>713529540.82</v>
      </c>
      <c r="N55" s="56">
        <f>16338793.91</f>
        <v>16338793.91</v>
      </c>
      <c r="O55" s="56">
        <f>45127359.72</f>
        <v>45127359.72</v>
      </c>
      <c r="P55" s="56">
        <f>264654.57</f>
        <v>264654.57</v>
      </c>
      <c r="Q55" s="56">
        <f>44862705.15</f>
        <v>44862705.15</v>
      </c>
    </row>
    <row r="56" spans="1:17" ht="47.25" customHeight="1">
      <c r="A56" s="50" t="s">
        <v>154</v>
      </c>
      <c r="B56" s="56">
        <f>14836647875.99</f>
        <v>14836647875.99</v>
      </c>
      <c r="C56" s="56">
        <f>14825173007.08</f>
        <v>14825173007.08</v>
      </c>
      <c r="D56" s="56">
        <f>2265302974.01</f>
        <v>2265302974.01</v>
      </c>
      <c r="E56" s="56">
        <f>1904101141.4</f>
        <v>1904101141.4</v>
      </c>
      <c r="F56" s="56">
        <f>70340360.58</f>
        <v>70340360.58</v>
      </c>
      <c r="G56" s="56">
        <f>268852437.6</f>
        <v>268852437.6</v>
      </c>
      <c r="H56" s="56">
        <f>22009034.43</f>
        <v>22009034.43</v>
      </c>
      <c r="I56" s="56">
        <f>2324279.39</f>
        <v>2324279.39</v>
      </c>
      <c r="J56" s="56">
        <f>22588646.9</f>
        <v>22588646.9</v>
      </c>
      <c r="K56" s="56">
        <f>39133426.98</f>
        <v>39133426.98</v>
      </c>
      <c r="L56" s="56">
        <f>9023196479.42</f>
        <v>9023196479.42</v>
      </c>
      <c r="M56" s="56">
        <f>3403932426.96</f>
        <v>3403932426.96</v>
      </c>
      <c r="N56" s="56">
        <f>68694773.42</f>
        <v>68694773.42</v>
      </c>
      <c r="O56" s="56">
        <f>11474868.91</f>
        <v>11474868.91</v>
      </c>
      <c r="P56" s="56">
        <f>11114265.91</f>
        <v>11114265.91</v>
      </c>
      <c r="Q56" s="56">
        <f>360603</f>
        <v>360603</v>
      </c>
    </row>
    <row r="57" spans="1:17" ht="35.25" customHeight="1">
      <c r="A57" s="50" t="s">
        <v>91</v>
      </c>
      <c r="B57" s="56">
        <f>8639733253.71</f>
        <v>8639733253.71</v>
      </c>
      <c r="C57" s="56">
        <f>8621504550.48</f>
        <v>8621504550.48</v>
      </c>
      <c r="D57" s="56">
        <f>1187329488.49</f>
        <v>1187329488.49</v>
      </c>
      <c r="E57" s="56">
        <f>646492076.02</f>
        <v>646492076.02</v>
      </c>
      <c r="F57" s="56">
        <f>29397992.4</f>
        <v>29397992.4</v>
      </c>
      <c r="G57" s="56">
        <f>500489547.62</f>
        <v>500489547.62</v>
      </c>
      <c r="H57" s="56">
        <f>10949872.45</f>
        <v>10949872.45</v>
      </c>
      <c r="I57" s="56">
        <f>36171.65</f>
        <v>36171.65</v>
      </c>
      <c r="J57" s="56">
        <f>3403103.55</f>
        <v>3403103.55</v>
      </c>
      <c r="K57" s="56">
        <f>28596948.44</f>
        <v>28596948.44</v>
      </c>
      <c r="L57" s="56">
        <f>3563160232.41</f>
        <v>3563160232.41</v>
      </c>
      <c r="M57" s="56">
        <f>3571587341.1</f>
        <v>3571587341.1</v>
      </c>
      <c r="N57" s="56">
        <f>267391264.84</f>
        <v>267391264.84</v>
      </c>
      <c r="O57" s="56">
        <f>18228703.23</f>
        <v>18228703.23</v>
      </c>
      <c r="P57" s="56">
        <f>17952207.09</f>
        <v>17952207.09</v>
      </c>
      <c r="Q57" s="56">
        <f>276496.14</f>
        <v>276496.14</v>
      </c>
    </row>
    <row r="68" spans="1:13" ht="75" customHeight="1">
      <c r="A68" s="65" t="str">
        <f>CONCATENATE("Informacja z wykonania budżetów jednostek samorządu terytorialnego za ",$C$95," ",$B$96," roku")</f>
        <v>Informacja z wykonania budżetów jednostek samorządu terytorialnego za II Kwartały 2021 roku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75" t="s">
        <v>5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2" spans="2:12" ht="13.5" customHeight="1">
      <c r="B72" s="78" t="s">
        <v>0</v>
      </c>
      <c r="C72" s="79"/>
      <c r="D72" s="79"/>
      <c r="E72" s="80"/>
      <c r="F72" s="97" t="s">
        <v>143</v>
      </c>
      <c r="G72" s="61" t="s">
        <v>150</v>
      </c>
      <c r="H72" s="62"/>
      <c r="I72" s="62"/>
      <c r="J72" s="62"/>
      <c r="K72" s="62"/>
      <c r="L72" s="63"/>
    </row>
    <row r="73" spans="2:12" ht="13.5" customHeight="1">
      <c r="B73" s="81"/>
      <c r="C73" s="82"/>
      <c r="D73" s="82"/>
      <c r="E73" s="83"/>
      <c r="F73" s="98"/>
      <c r="G73" s="64" t="s">
        <v>144</v>
      </c>
      <c r="H73" s="64" t="s">
        <v>140</v>
      </c>
      <c r="I73" s="64" t="s">
        <v>141</v>
      </c>
      <c r="J73" s="64" t="s">
        <v>145</v>
      </c>
      <c r="K73" s="64" t="s">
        <v>146</v>
      </c>
      <c r="L73" s="69" t="s">
        <v>147</v>
      </c>
    </row>
    <row r="74" spans="2:12" ht="13.5" customHeight="1">
      <c r="B74" s="81"/>
      <c r="C74" s="82"/>
      <c r="D74" s="82"/>
      <c r="E74" s="83"/>
      <c r="F74" s="98"/>
      <c r="G74" s="64"/>
      <c r="H74" s="64"/>
      <c r="I74" s="64"/>
      <c r="J74" s="64"/>
      <c r="K74" s="64"/>
      <c r="L74" s="69"/>
    </row>
    <row r="75" spans="2:12" ht="11.25" customHeight="1">
      <c r="B75" s="81"/>
      <c r="C75" s="82"/>
      <c r="D75" s="82"/>
      <c r="E75" s="83"/>
      <c r="F75" s="98"/>
      <c r="G75" s="64"/>
      <c r="H75" s="64"/>
      <c r="I75" s="64"/>
      <c r="J75" s="64"/>
      <c r="K75" s="64"/>
      <c r="L75" s="69"/>
    </row>
    <row r="76" spans="2:12" ht="20.25" customHeight="1">
      <c r="B76" s="84"/>
      <c r="C76" s="85"/>
      <c r="D76" s="85"/>
      <c r="E76" s="86"/>
      <c r="F76" s="99"/>
      <c r="G76" s="64"/>
      <c r="H76" s="64"/>
      <c r="I76" s="64"/>
      <c r="J76" s="64"/>
      <c r="K76" s="64"/>
      <c r="L76" s="69"/>
    </row>
    <row r="77" spans="2:12" ht="13.5" customHeight="1">
      <c r="B77" s="64">
        <v>1</v>
      </c>
      <c r="C77" s="64"/>
      <c r="D77" s="64"/>
      <c r="E77" s="64"/>
      <c r="F77" s="47">
        <v>2</v>
      </c>
      <c r="G77" s="47">
        <v>3</v>
      </c>
      <c r="H77" s="47">
        <v>4</v>
      </c>
      <c r="I77" s="47">
        <v>5</v>
      </c>
      <c r="J77" s="47">
        <v>6</v>
      </c>
      <c r="K77" s="47">
        <v>7</v>
      </c>
      <c r="L77" s="47">
        <v>8</v>
      </c>
    </row>
    <row r="78" spans="2:12" ht="33.75" customHeight="1">
      <c r="B78" s="87" t="s">
        <v>121</v>
      </c>
      <c r="C78" s="88"/>
      <c r="D78" s="88"/>
      <c r="E78" s="89"/>
      <c r="F78" s="54">
        <f>4824949742.15</f>
        <v>4824949742.15</v>
      </c>
      <c r="G78" s="54">
        <f>1218333605.66</f>
        <v>1218333605.66</v>
      </c>
      <c r="H78" s="54">
        <f>61107119.7</f>
        <v>61107119.7</v>
      </c>
      <c r="I78" s="54">
        <f>318021104.58</f>
        <v>318021104.58</v>
      </c>
      <c r="J78" s="54">
        <f>829995667.83</f>
        <v>829995667.83</v>
      </c>
      <c r="K78" s="54">
        <f>9209713.55</f>
        <v>9209713.55</v>
      </c>
      <c r="L78" s="54">
        <f>3606616136.49</f>
        <v>3606616136.49</v>
      </c>
    </row>
    <row r="79" spans="2:12" ht="33.75" customHeight="1">
      <c r="B79" s="70" t="s">
        <v>122</v>
      </c>
      <c r="C79" s="71"/>
      <c r="D79" s="71"/>
      <c r="E79" s="72"/>
      <c r="F79" s="57">
        <f>2817717.58</f>
        <v>2817717.58</v>
      </c>
      <c r="G79" s="57">
        <f>2480837</f>
        <v>2480837</v>
      </c>
      <c r="H79" s="57">
        <f>1170883</f>
        <v>1170883</v>
      </c>
      <c r="I79" s="57">
        <f>139071</f>
        <v>139071</v>
      </c>
      <c r="J79" s="57">
        <f>1170883</f>
        <v>1170883</v>
      </c>
      <c r="K79" s="57">
        <f>0</f>
        <v>0</v>
      </c>
      <c r="L79" s="57">
        <f>336880.58</f>
        <v>336880.58</v>
      </c>
    </row>
    <row r="80" spans="2:12" ht="33.75" customHeight="1">
      <c r="B80" s="70" t="s">
        <v>123</v>
      </c>
      <c r="C80" s="71"/>
      <c r="D80" s="71"/>
      <c r="E80" s="72"/>
      <c r="F80" s="57">
        <f>153815681.62</f>
        <v>153815681.62</v>
      </c>
      <c r="G80" s="57">
        <f>59241145.21</f>
        <v>59241145.21</v>
      </c>
      <c r="H80" s="57">
        <f>0</f>
        <v>0</v>
      </c>
      <c r="I80" s="57">
        <f>5494302</f>
        <v>5494302</v>
      </c>
      <c r="J80" s="57">
        <f>53746843.21</f>
        <v>53746843.21</v>
      </c>
      <c r="K80" s="57">
        <f>0</f>
        <v>0</v>
      </c>
      <c r="L80" s="57">
        <f>94574536.41</f>
        <v>94574536.41</v>
      </c>
    </row>
    <row r="81" spans="2:12" ht="22.5" customHeight="1">
      <c r="B81" s="70" t="s">
        <v>124</v>
      </c>
      <c r="C81" s="71"/>
      <c r="D81" s="71"/>
      <c r="E81" s="72"/>
      <c r="F81" s="57">
        <f>82441529.72</f>
        <v>82441529.72</v>
      </c>
      <c r="G81" s="57">
        <f>39363645.03</f>
        <v>39363645.03</v>
      </c>
      <c r="H81" s="57">
        <f>0</f>
        <v>0</v>
      </c>
      <c r="I81" s="57">
        <f>0</f>
        <v>0</v>
      </c>
      <c r="J81" s="57">
        <f>39363645.03</f>
        <v>39363645.03</v>
      </c>
      <c r="K81" s="57">
        <f>0</f>
        <v>0</v>
      </c>
      <c r="L81" s="57">
        <f>43077884.69</f>
        <v>43077884.69</v>
      </c>
    </row>
    <row r="82" spans="2:12" ht="33.75" customHeight="1">
      <c r="B82" s="70" t="s">
        <v>125</v>
      </c>
      <c r="C82" s="71"/>
      <c r="D82" s="71"/>
      <c r="E82" s="72"/>
      <c r="F82" s="57">
        <f>13927657.07</f>
        <v>13927657.07</v>
      </c>
      <c r="G82" s="57">
        <f>12326601.25</f>
        <v>12326601.25</v>
      </c>
      <c r="H82" s="57">
        <f>0</f>
        <v>0</v>
      </c>
      <c r="I82" s="57">
        <f>0</f>
        <v>0</v>
      </c>
      <c r="J82" s="57">
        <f>12326601.25</f>
        <v>12326601.25</v>
      </c>
      <c r="K82" s="57">
        <f>0</f>
        <v>0</v>
      </c>
      <c r="L82" s="57">
        <f>1601055.82</f>
        <v>1601055.82</v>
      </c>
    </row>
    <row r="83" spans="2:12" ht="33.75" customHeight="1">
      <c r="B83" s="70" t="s">
        <v>126</v>
      </c>
      <c r="C83" s="71"/>
      <c r="D83" s="71"/>
      <c r="E83" s="72"/>
      <c r="F83" s="57">
        <f>12982335.23</f>
        <v>12982335.23</v>
      </c>
      <c r="G83" s="57">
        <f>7615844.79</f>
        <v>7615844.79</v>
      </c>
      <c r="H83" s="57">
        <f>0</f>
        <v>0</v>
      </c>
      <c r="I83" s="57">
        <f>0</f>
        <v>0</v>
      </c>
      <c r="J83" s="57">
        <f>7615844.79</f>
        <v>7615844.79</v>
      </c>
      <c r="K83" s="57">
        <f>0</f>
        <v>0</v>
      </c>
      <c r="L83" s="57">
        <f>5366490.44</f>
        <v>5366490.44</v>
      </c>
    </row>
    <row r="84" spans="2:12" ht="33" customHeight="1">
      <c r="B84" s="87" t="s">
        <v>127</v>
      </c>
      <c r="C84" s="88"/>
      <c r="D84" s="88"/>
      <c r="E84" s="89"/>
      <c r="F84" s="54">
        <f>382388.46</f>
        <v>382388.46</v>
      </c>
      <c r="G84" s="54">
        <f>364388.46</f>
        <v>364388.46</v>
      </c>
      <c r="H84" s="54">
        <f>0</f>
        <v>0</v>
      </c>
      <c r="I84" s="54">
        <f>0</f>
        <v>0</v>
      </c>
      <c r="J84" s="54">
        <f>364388.46</f>
        <v>364388.46</v>
      </c>
      <c r="K84" s="54">
        <f>0</f>
        <v>0</v>
      </c>
      <c r="L84" s="54">
        <f>18000</f>
        <v>18000</v>
      </c>
    </row>
    <row r="87" spans="1:13" ht="75" customHeight="1">
      <c r="A87" s="65" t="str">
        <f>CONCATENATE("Informacja z wykonania budżetów jednostek samorządu terytorialnego za ",$C$95," ",$B$96," roku")</f>
        <v>Informacja z wykonania budżetów jednostek samorządu terytorialnego za II Kwartały 2021 roku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</row>
    <row r="88" ht="13.5" customHeight="1">
      <c r="B88" s="9"/>
    </row>
    <row r="89" spans="2:11" ht="13.5" customHeight="1">
      <c r="B89" s="10"/>
      <c r="C89" s="76"/>
      <c r="D89" s="92"/>
      <c r="E89" s="92"/>
      <c r="F89" s="77"/>
      <c r="G89" s="76" t="s">
        <v>7</v>
      </c>
      <c r="H89" s="77"/>
      <c r="I89" s="76" t="s">
        <v>8</v>
      </c>
      <c r="J89" s="77"/>
      <c r="K89" s="10"/>
    </row>
    <row r="90" spans="2:11" ht="13.5" customHeight="1">
      <c r="B90" s="11"/>
      <c r="C90" s="87" t="s">
        <v>23</v>
      </c>
      <c r="D90" s="88"/>
      <c r="E90" s="88"/>
      <c r="F90" s="89"/>
      <c r="G90" s="90">
        <f>2688</f>
        <v>2688</v>
      </c>
      <c r="H90" s="91"/>
      <c r="I90" s="73">
        <f>22651439907.57</f>
        <v>22651439907.57</v>
      </c>
      <c r="J90" s="74"/>
      <c r="K90" s="12"/>
    </row>
    <row r="91" spans="2:11" ht="13.5" customHeight="1">
      <c r="B91" s="11"/>
      <c r="C91" s="70" t="s">
        <v>24</v>
      </c>
      <c r="D91" s="71"/>
      <c r="E91" s="71"/>
      <c r="F91" s="72"/>
      <c r="G91" s="93">
        <f>119</f>
        <v>119</v>
      </c>
      <c r="H91" s="94"/>
      <c r="I91" s="95">
        <f>-211648548.44</f>
        <v>-211648548.44</v>
      </c>
      <c r="J91" s="96"/>
      <c r="K91" s="12"/>
    </row>
    <row r="92" spans="2:11" ht="13.5" customHeight="1">
      <c r="B92" s="11"/>
      <c r="C92" s="87" t="s">
        <v>25</v>
      </c>
      <c r="D92" s="88"/>
      <c r="E92" s="88"/>
      <c r="F92" s="89"/>
      <c r="G92" s="90">
        <f>0</f>
        <v>0</v>
      </c>
      <c r="H92" s="91"/>
      <c r="I92" s="73">
        <f>0</f>
        <v>0</v>
      </c>
      <c r="J92" s="74"/>
      <c r="K92" s="12"/>
    </row>
    <row r="95" spans="1:3" ht="13.5" customHeight="1">
      <c r="A95" s="15" t="s">
        <v>26</v>
      </c>
      <c r="B95" s="15">
        <f>2</f>
        <v>2</v>
      </c>
      <c r="C95" s="15" t="str">
        <f>IF(B95=1,"I Kwartał",IF(B95=2,"II Kwartały",IF(B95=3,"III Kwartały",IF(B95=4,"IV Kwartały","-"))))</f>
        <v>II Kwartały</v>
      </c>
    </row>
    <row r="96" spans="1:3" ht="13.5" customHeight="1">
      <c r="A96" s="15" t="s">
        <v>27</v>
      </c>
      <c r="B96" s="15">
        <f>2021</f>
        <v>2021</v>
      </c>
      <c r="C96" s="16"/>
    </row>
    <row r="97" spans="1:3" ht="13.5" customHeight="1">
      <c r="A97" s="15" t="s">
        <v>28</v>
      </c>
      <c r="B97" s="17" t="str">
        <f>"Aug 18 2021 12:00AM"</f>
        <v>Aug 18 2021 12:00AM</v>
      </c>
      <c r="C97" s="16"/>
    </row>
  </sheetData>
  <sheetProtection/>
  <mergeCells count="75">
    <mergeCell ref="H35:H38"/>
    <mergeCell ref="K35:K38"/>
    <mergeCell ref="I35:I38"/>
    <mergeCell ref="J35:J38"/>
    <mergeCell ref="E35:E38"/>
    <mergeCell ref="K73:K76"/>
    <mergeCell ref="Q7:Q11"/>
    <mergeCell ref="C34:N34"/>
    <mergeCell ref="L7:L11"/>
    <mergeCell ref="M7:M11"/>
    <mergeCell ref="N7:N11"/>
    <mergeCell ref="P7:P11"/>
    <mergeCell ref="L73:L76"/>
    <mergeCell ref="F35:F38"/>
    <mergeCell ref="A30:M30"/>
    <mergeCell ref="O34:Q34"/>
    <mergeCell ref="A32:M32"/>
    <mergeCell ref="B34:B38"/>
    <mergeCell ref="G7:G11"/>
    <mergeCell ref="F7:F11"/>
    <mergeCell ref="I7:I11"/>
    <mergeCell ref="J7:J11"/>
    <mergeCell ref="A34:A38"/>
    <mergeCell ref="C35:C38"/>
    <mergeCell ref="G35:G38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Q106"/>
  <sheetViews>
    <sheetView zoomScalePageLayoutView="0" workbookViewId="0" topLeftCell="A67">
      <selection activeCell="L70" sqref="L70:L72"/>
    </sheetView>
  </sheetViews>
  <sheetFormatPr defaultColWidth="9.00390625" defaultRowHeight="13.5" customHeight="1"/>
  <cols>
    <col min="1" max="1" width="32.25390625" style="2" customWidth="1"/>
    <col min="2" max="13" width="10.75390625" style="2" customWidth="1"/>
    <col min="14" max="16384" width="9.125" style="2" customWidth="1"/>
  </cols>
  <sheetData>
    <row r="1" spans="1:13" ht="75" customHeight="1">
      <c r="A1" s="126" t="str">
        <f>CONCATENATE("Informacja z wykonania budżetów jednostek samorządu terytorialnego za ",$D$104," ",$C$105," roku")</f>
        <v>Informacja z wykonania budżetów jednostek samorządu terytorialnego za - 2021 roku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75" t="s">
        <v>134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5" spans="1:17" ht="13.5" customHeight="1">
      <c r="A5" s="131" t="s">
        <v>0</v>
      </c>
      <c r="B5" s="76" t="s">
        <v>135</v>
      </c>
      <c r="C5" s="124" t="s">
        <v>139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76" t="s">
        <v>138</v>
      </c>
      <c r="P5" s="92"/>
      <c r="Q5" s="77"/>
    </row>
    <row r="6" spans="1:17" ht="13.5" customHeight="1">
      <c r="A6" s="131"/>
      <c r="B6" s="76"/>
      <c r="C6" s="124" t="s">
        <v>136</v>
      </c>
      <c r="D6" s="124" t="s">
        <v>3</v>
      </c>
      <c r="E6" s="124" t="s">
        <v>140</v>
      </c>
      <c r="F6" s="124" t="s">
        <v>141</v>
      </c>
      <c r="G6" s="124" t="s">
        <v>76</v>
      </c>
      <c r="H6" s="124" t="s">
        <v>77</v>
      </c>
      <c r="I6" s="124" t="s">
        <v>137</v>
      </c>
      <c r="J6" s="124" t="s">
        <v>59</v>
      </c>
      <c r="K6" s="124" t="s">
        <v>60</v>
      </c>
      <c r="L6" s="124" t="s">
        <v>61</v>
      </c>
      <c r="M6" s="124" t="s">
        <v>62</v>
      </c>
      <c r="N6" s="152" t="s">
        <v>63</v>
      </c>
      <c r="O6" s="133" t="s">
        <v>64</v>
      </c>
      <c r="P6" s="149" t="s">
        <v>65</v>
      </c>
      <c r="Q6" s="109" t="s">
        <v>66</v>
      </c>
    </row>
    <row r="7" spans="1:17" ht="13.5" customHeight="1">
      <c r="A7" s="131"/>
      <c r="B7" s="76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52"/>
      <c r="O7" s="134"/>
      <c r="P7" s="150"/>
      <c r="Q7" s="110"/>
    </row>
    <row r="8" spans="1:17" ht="13.5" customHeight="1">
      <c r="A8" s="131"/>
      <c r="B8" s="76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52"/>
      <c r="O8" s="134"/>
      <c r="P8" s="150"/>
      <c r="Q8" s="110"/>
    </row>
    <row r="9" spans="1:17" ht="13.5" customHeight="1">
      <c r="A9" s="131"/>
      <c r="B9" s="76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52"/>
      <c r="O9" s="134"/>
      <c r="P9" s="150"/>
      <c r="Q9" s="110"/>
    </row>
    <row r="10" spans="1:17" ht="22.5" customHeight="1">
      <c r="A10" s="131"/>
      <c r="B10" s="76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52"/>
      <c r="O10" s="135"/>
      <c r="P10" s="151"/>
      <c r="Q10" s="111"/>
    </row>
    <row r="11" spans="1:17" ht="13.5" customHeight="1">
      <c r="A11" s="7"/>
      <c r="B11" s="3" t="s">
        <v>21</v>
      </c>
      <c r="C11" s="5" t="s">
        <v>9</v>
      </c>
      <c r="D11" s="6" t="s">
        <v>10</v>
      </c>
      <c r="E11" s="5" t="s">
        <v>11</v>
      </c>
      <c r="F11" s="5" t="s">
        <v>12</v>
      </c>
      <c r="G11" s="5" t="s">
        <v>13</v>
      </c>
      <c r="H11" s="5" t="s">
        <v>58</v>
      </c>
      <c r="I11" s="5" t="s">
        <v>14</v>
      </c>
      <c r="J11" s="5" t="s">
        <v>15</v>
      </c>
      <c r="K11" s="5" t="s">
        <v>67</v>
      </c>
      <c r="L11" s="5" t="s">
        <v>68</v>
      </c>
      <c r="M11" s="5" t="s">
        <v>69</v>
      </c>
      <c r="N11" s="37" t="s">
        <v>70</v>
      </c>
      <c r="O11" s="5" t="s">
        <v>1</v>
      </c>
      <c r="P11" s="5" t="s">
        <v>71</v>
      </c>
      <c r="Q11" s="5" t="s">
        <v>72</v>
      </c>
    </row>
    <row r="12" spans="1:17" ht="13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ht="25.5">
      <c r="A13" s="8" t="s">
        <v>107</v>
      </c>
      <c r="B13" s="132" t="s">
        <v>34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ht="22.5" customHeight="1">
      <c r="A14" s="28" t="s">
        <v>108</v>
      </c>
      <c r="B14" s="108" t="s">
        <v>35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ht="13.5" customHeight="1">
      <c r="A15" s="29" t="s">
        <v>109</v>
      </c>
      <c r="B15" s="107" t="s">
        <v>36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7" ht="12.75">
      <c r="A16" s="29" t="s">
        <v>110</v>
      </c>
      <c r="B16" s="108" t="s">
        <v>118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ht="36" customHeight="1">
      <c r="A17" s="30" t="s">
        <v>111</v>
      </c>
      <c r="B17" s="107" t="s">
        <v>37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ht="13.5" customHeight="1">
      <c r="A18" s="31" t="s">
        <v>112</v>
      </c>
      <c r="B18" s="108" t="s">
        <v>38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12.75">
      <c r="A19" s="32" t="s">
        <v>113</v>
      </c>
      <c r="B19" s="107" t="s">
        <v>119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ht="12.75">
      <c r="A20" s="33" t="s">
        <v>114</v>
      </c>
      <c r="B20" s="108" t="s">
        <v>39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7" ht="30.75" customHeight="1">
      <c r="A21" s="28" t="s">
        <v>115</v>
      </c>
      <c r="B21" s="108" t="s">
        <v>40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ht="13.5" customHeight="1">
      <c r="A22" s="32" t="s">
        <v>116</v>
      </c>
      <c r="B22" s="108" t="s">
        <v>41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7" ht="13.5" customHeight="1" thickBot="1">
      <c r="A23" s="34" t="s">
        <v>117</v>
      </c>
      <c r="B23" s="108" t="s">
        <v>120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32" spans="1:13" ht="75" customHeight="1">
      <c r="A32" s="126" t="str">
        <f>CONCATENATE("Informacja z wykonania budżetów jednostek samorządu terytorialnego za ",$D$104," ",$C$105," roku")</f>
        <v>Informacja z wykonania budżetów jednostek samorządu terytorialnego za - 2021 roku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 customHeight="1">
      <c r="A34" s="75" t="s">
        <v>52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6" spans="1:17" ht="13.5" customHeight="1">
      <c r="A36" s="127" t="s">
        <v>0</v>
      </c>
      <c r="B36" s="128" t="s">
        <v>53</v>
      </c>
      <c r="C36" s="105" t="s">
        <v>55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20"/>
      <c r="O36" s="105" t="s">
        <v>73</v>
      </c>
      <c r="P36" s="105"/>
      <c r="Q36" s="106"/>
    </row>
    <row r="37" spans="1:17" ht="13.5" customHeight="1">
      <c r="A37" s="127"/>
      <c r="B37" s="128"/>
      <c r="C37" s="109" t="s">
        <v>54</v>
      </c>
      <c r="D37" s="116" t="s">
        <v>56</v>
      </c>
      <c r="E37" s="116" t="s">
        <v>74</v>
      </c>
      <c r="F37" s="116" t="s">
        <v>75</v>
      </c>
      <c r="G37" s="116" t="s">
        <v>76</v>
      </c>
      <c r="H37" s="116" t="s">
        <v>77</v>
      </c>
      <c r="I37" s="125" t="s">
        <v>78</v>
      </c>
      <c r="J37" s="124" t="s">
        <v>59</v>
      </c>
      <c r="K37" s="116" t="s">
        <v>60</v>
      </c>
      <c r="L37" s="116" t="s">
        <v>61</v>
      </c>
      <c r="M37" s="116" t="s">
        <v>62</v>
      </c>
      <c r="N37" s="121" t="s">
        <v>63</v>
      </c>
      <c r="O37" s="109" t="s">
        <v>64</v>
      </c>
      <c r="P37" s="116" t="s">
        <v>65</v>
      </c>
      <c r="Q37" s="109" t="s">
        <v>66</v>
      </c>
    </row>
    <row r="38" spans="1:17" ht="13.5" customHeight="1">
      <c r="A38" s="127"/>
      <c r="B38" s="128"/>
      <c r="C38" s="110"/>
      <c r="D38" s="117"/>
      <c r="E38" s="117"/>
      <c r="F38" s="117"/>
      <c r="G38" s="117"/>
      <c r="H38" s="117"/>
      <c r="I38" s="125"/>
      <c r="J38" s="124"/>
      <c r="K38" s="117"/>
      <c r="L38" s="117"/>
      <c r="M38" s="117"/>
      <c r="N38" s="122"/>
      <c r="O38" s="110"/>
      <c r="P38" s="117"/>
      <c r="Q38" s="110"/>
    </row>
    <row r="39" spans="1:17" ht="13.5" customHeight="1">
      <c r="A39" s="127"/>
      <c r="B39" s="128"/>
      <c r="C39" s="110"/>
      <c r="D39" s="117"/>
      <c r="E39" s="117"/>
      <c r="F39" s="117"/>
      <c r="G39" s="117"/>
      <c r="H39" s="117"/>
      <c r="I39" s="125"/>
      <c r="J39" s="124"/>
      <c r="K39" s="117"/>
      <c r="L39" s="117"/>
      <c r="M39" s="117"/>
      <c r="N39" s="122"/>
      <c r="O39" s="110"/>
      <c r="P39" s="117"/>
      <c r="Q39" s="110"/>
    </row>
    <row r="40" spans="1:17" ht="13.5" customHeight="1">
      <c r="A40" s="127"/>
      <c r="B40" s="128"/>
      <c r="C40" s="110"/>
      <c r="D40" s="117"/>
      <c r="E40" s="117"/>
      <c r="F40" s="117"/>
      <c r="G40" s="117"/>
      <c r="H40" s="117"/>
      <c r="I40" s="125"/>
      <c r="J40" s="124"/>
      <c r="K40" s="117"/>
      <c r="L40" s="117"/>
      <c r="M40" s="117"/>
      <c r="N40" s="122"/>
      <c r="O40" s="110"/>
      <c r="P40" s="117"/>
      <c r="Q40" s="110"/>
    </row>
    <row r="41" spans="1:17" ht="22.5" customHeight="1">
      <c r="A41" s="127"/>
      <c r="B41" s="128"/>
      <c r="C41" s="111"/>
      <c r="D41" s="118"/>
      <c r="E41" s="118"/>
      <c r="F41" s="118"/>
      <c r="G41" s="118"/>
      <c r="H41" s="118"/>
      <c r="I41" s="125"/>
      <c r="J41" s="124"/>
      <c r="K41" s="118"/>
      <c r="L41" s="118"/>
      <c r="M41" s="118"/>
      <c r="N41" s="123"/>
      <c r="O41" s="111"/>
      <c r="P41" s="118"/>
      <c r="Q41" s="111"/>
    </row>
    <row r="42" spans="1:17" ht="13.5" customHeight="1">
      <c r="A42" s="21"/>
      <c r="B42" s="22" t="s">
        <v>22</v>
      </c>
      <c r="C42" s="18" t="s">
        <v>9</v>
      </c>
      <c r="D42" s="6" t="s">
        <v>10</v>
      </c>
      <c r="E42" s="3" t="s">
        <v>11</v>
      </c>
      <c r="F42" s="5" t="s">
        <v>12</v>
      </c>
      <c r="G42" s="5" t="s">
        <v>13</v>
      </c>
      <c r="H42" s="5" t="s">
        <v>58</v>
      </c>
      <c r="I42" s="3" t="s">
        <v>14</v>
      </c>
      <c r="J42" s="3" t="s">
        <v>15</v>
      </c>
      <c r="K42" s="5" t="s">
        <v>67</v>
      </c>
      <c r="L42" s="5" t="s">
        <v>68</v>
      </c>
      <c r="M42" s="5" t="s">
        <v>69</v>
      </c>
      <c r="N42" s="19" t="s">
        <v>70</v>
      </c>
      <c r="O42" s="18" t="s">
        <v>1</v>
      </c>
      <c r="P42" s="5" t="s">
        <v>71</v>
      </c>
      <c r="Q42" s="5" t="s">
        <v>72</v>
      </c>
    </row>
    <row r="43" spans="1:17" ht="13.5" customHeight="1">
      <c r="A43" s="19">
        <v>1</v>
      </c>
      <c r="B43" s="22">
        <v>2</v>
      </c>
      <c r="C43" s="4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  <c r="I43" s="3">
        <v>9</v>
      </c>
      <c r="J43" s="3">
        <v>10</v>
      </c>
      <c r="K43" s="3">
        <v>11</v>
      </c>
      <c r="L43" s="3">
        <v>12</v>
      </c>
      <c r="M43" s="3">
        <v>13</v>
      </c>
      <c r="N43" s="20">
        <v>14</v>
      </c>
      <c r="O43" s="4">
        <v>15</v>
      </c>
      <c r="P43" s="3">
        <v>16</v>
      </c>
      <c r="Q43" s="3">
        <v>17</v>
      </c>
    </row>
    <row r="44" spans="1:17" ht="30" customHeight="1">
      <c r="A44" s="23" t="s">
        <v>79</v>
      </c>
      <c r="B44" s="129" t="s">
        <v>42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30"/>
    </row>
    <row r="45" spans="1:17" ht="15.75" customHeight="1">
      <c r="A45" s="24" t="s">
        <v>92</v>
      </c>
      <c r="B45" s="112" t="s">
        <v>43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</row>
    <row r="46" spans="1:17" ht="13.5" customHeight="1">
      <c r="A46" s="25" t="s">
        <v>80</v>
      </c>
      <c r="B46" s="114" t="s">
        <v>44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5"/>
    </row>
    <row r="47" spans="1:17" ht="12.75">
      <c r="A47" s="25" t="s">
        <v>81</v>
      </c>
      <c r="B47" s="114" t="s">
        <v>97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</row>
    <row r="48" spans="1:17" ht="13.5" customHeight="1">
      <c r="A48" s="24" t="s">
        <v>93</v>
      </c>
      <c r="B48" s="114" t="s">
        <v>148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</row>
    <row r="49" spans="1:17" ht="13.5" customHeight="1">
      <c r="A49" s="25" t="s">
        <v>82</v>
      </c>
      <c r="B49" s="112" t="s">
        <v>45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3"/>
    </row>
    <row r="50" spans="1:17" ht="12.75">
      <c r="A50" s="25" t="s">
        <v>83</v>
      </c>
      <c r="B50" s="114" t="s">
        <v>98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5"/>
    </row>
    <row r="51" spans="1:17" ht="12.75">
      <c r="A51" s="26" t="s">
        <v>94</v>
      </c>
      <c r="B51" s="112" t="s">
        <v>46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3"/>
    </row>
    <row r="52" spans="1:17" ht="13.5" customHeight="1">
      <c r="A52" s="25" t="s">
        <v>84</v>
      </c>
      <c r="B52" s="112" t="s">
        <v>99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3"/>
    </row>
    <row r="53" spans="1:17" ht="13.5" customHeight="1">
      <c r="A53" s="25" t="s">
        <v>85</v>
      </c>
      <c r="B53" s="112" t="s">
        <v>100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3"/>
    </row>
    <row r="54" spans="1:17" ht="13.5" customHeight="1">
      <c r="A54" s="25" t="s">
        <v>86</v>
      </c>
      <c r="B54" s="112" t="s">
        <v>101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3"/>
    </row>
    <row r="55" spans="1:17" ht="13.5" customHeight="1">
      <c r="A55" s="24" t="s">
        <v>95</v>
      </c>
      <c r="B55" s="112" t="s">
        <v>47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3"/>
    </row>
    <row r="56" spans="1:17" ht="13.5" customHeight="1">
      <c r="A56" s="25" t="s">
        <v>87</v>
      </c>
      <c r="B56" s="112" t="s">
        <v>48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3"/>
    </row>
    <row r="57" spans="1:17" ht="13.5" customHeight="1">
      <c r="A57" s="25" t="s">
        <v>88</v>
      </c>
      <c r="B57" s="112" t="s">
        <v>102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3"/>
    </row>
    <row r="58" spans="1:17" ht="13.5" customHeight="1">
      <c r="A58" s="24" t="s">
        <v>96</v>
      </c>
      <c r="B58" s="112" t="s">
        <v>103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3"/>
    </row>
    <row r="59" spans="1:17" ht="13.5" customHeight="1">
      <c r="A59" s="25" t="s">
        <v>89</v>
      </c>
      <c r="B59" s="119" t="s">
        <v>104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3"/>
    </row>
    <row r="60" spans="1:17" ht="24" customHeight="1">
      <c r="A60" s="25" t="s">
        <v>90</v>
      </c>
      <c r="B60" s="119" t="s">
        <v>105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3"/>
    </row>
    <row r="61" spans="1:17" ht="18" customHeight="1" thickBot="1">
      <c r="A61" s="27" t="s">
        <v>91</v>
      </c>
      <c r="B61" s="119" t="s">
        <v>106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3"/>
    </row>
    <row r="65" spans="1:13" ht="75" customHeight="1">
      <c r="A65" s="126" t="str">
        <f>CONCATENATE("Informacja z wykonania budżetów jednostek samorządu terytorialnego za ",$D$104," ",$C$105," roku")</f>
        <v>Informacja z wykonania budżetów jednostek samorządu terytorialnego za - 2021 roku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</row>
    <row r="66" spans="1:1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3.5" customHeight="1">
      <c r="B67" s="75" t="s">
        <v>5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9" spans="2:12" ht="13.5" customHeight="1">
      <c r="B69" s="131" t="s">
        <v>0</v>
      </c>
      <c r="C69" s="131"/>
      <c r="D69" s="131"/>
      <c r="E69" s="131"/>
      <c r="F69" s="133" t="s">
        <v>2</v>
      </c>
      <c r="G69" s="76" t="s">
        <v>142</v>
      </c>
      <c r="H69" s="92"/>
      <c r="I69" s="92"/>
      <c r="J69" s="92"/>
      <c r="K69" s="92"/>
      <c r="L69" s="77"/>
    </row>
    <row r="70" spans="2:12" ht="13.5" customHeight="1">
      <c r="B70" s="131"/>
      <c r="C70" s="131"/>
      <c r="D70" s="131"/>
      <c r="E70" s="131"/>
      <c r="F70" s="134"/>
      <c r="G70" s="124" t="s">
        <v>6</v>
      </c>
      <c r="H70" s="124" t="s">
        <v>74</v>
      </c>
      <c r="I70" s="124" t="s">
        <v>141</v>
      </c>
      <c r="J70" s="124" t="s">
        <v>76</v>
      </c>
      <c r="K70" s="124" t="s">
        <v>77</v>
      </c>
      <c r="L70" s="153" t="s">
        <v>147</v>
      </c>
    </row>
    <row r="71" spans="2:12" ht="13.5" customHeight="1">
      <c r="B71" s="131"/>
      <c r="C71" s="131"/>
      <c r="D71" s="131"/>
      <c r="E71" s="131"/>
      <c r="F71" s="134"/>
      <c r="G71" s="124"/>
      <c r="H71" s="124"/>
      <c r="I71" s="124"/>
      <c r="J71" s="124"/>
      <c r="K71" s="124"/>
      <c r="L71" s="154"/>
    </row>
    <row r="72" spans="2:12" ht="22.5" customHeight="1">
      <c r="B72" s="131"/>
      <c r="C72" s="131"/>
      <c r="D72" s="131"/>
      <c r="E72" s="131"/>
      <c r="F72" s="135"/>
      <c r="G72" s="124"/>
      <c r="H72" s="124"/>
      <c r="I72" s="124"/>
      <c r="J72" s="124"/>
      <c r="K72" s="124"/>
      <c r="L72" s="155"/>
    </row>
    <row r="73" spans="2:12" ht="13.5" customHeight="1">
      <c r="B73" s="124"/>
      <c r="C73" s="124"/>
      <c r="D73" s="124"/>
      <c r="E73" s="124"/>
      <c r="F73" s="3" t="s">
        <v>20</v>
      </c>
      <c r="G73" s="3" t="s">
        <v>16</v>
      </c>
      <c r="H73" s="3" t="s">
        <v>17</v>
      </c>
      <c r="I73" s="3" t="s">
        <v>18</v>
      </c>
      <c r="J73" s="3" t="s">
        <v>19</v>
      </c>
      <c r="K73" s="3" t="s">
        <v>132</v>
      </c>
      <c r="L73" s="44" t="s">
        <v>133</v>
      </c>
    </row>
    <row r="74" spans="2:12" ht="13.5" customHeight="1">
      <c r="B74" s="124">
        <v>1</v>
      </c>
      <c r="C74" s="124"/>
      <c r="D74" s="124"/>
      <c r="E74" s="124"/>
      <c r="F74" s="3">
        <v>2</v>
      </c>
      <c r="G74" s="3">
        <v>3</v>
      </c>
      <c r="H74" s="3">
        <v>4</v>
      </c>
      <c r="I74" s="3">
        <v>5</v>
      </c>
      <c r="J74" s="3">
        <v>6</v>
      </c>
      <c r="K74" s="3">
        <v>7</v>
      </c>
      <c r="L74" s="40">
        <v>8</v>
      </c>
    </row>
    <row r="75" spans="2:12" ht="33.75" customHeight="1">
      <c r="B75" s="136" t="s">
        <v>121</v>
      </c>
      <c r="C75" s="136"/>
      <c r="D75" s="136"/>
      <c r="E75" s="136"/>
      <c r="F75" s="148" t="s">
        <v>49</v>
      </c>
      <c r="G75" s="148"/>
      <c r="H75" s="148"/>
      <c r="I75" s="148"/>
      <c r="J75" s="148"/>
      <c r="K75" s="148"/>
      <c r="L75" s="148"/>
    </row>
    <row r="76" spans="2:12" ht="33.75" customHeight="1">
      <c r="B76" s="137" t="s">
        <v>122</v>
      </c>
      <c r="C76" s="137"/>
      <c r="D76" s="137"/>
      <c r="E76" s="137"/>
      <c r="F76" s="137" t="s">
        <v>50</v>
      </c>
      <c r="G76" s="137"/>
      <c r="H76" s="137"/>
      <c r="I76" s="137"/>
      <c r="J76" s="137"/>
      <c r="K76" s="137"/>
      <c r="L76" s="137"/>
    </row>
    <row r="77" spans="2:12" ht="33.75" customHeight="1">
      <c r="B77" s="136" t="s">
        <v>123</v>
      </c>
      <c r="C77" s="136"/>
      <c r="D77" s="136"/>
      <c r="E77" s="136"/>
      <c r="F77" s="136" t="s">
        <v>51</v>
      </c>
      <c r="G77" s="136"/>
      <c r="H77" s="136"/>
      <c r="I77" s="136"/>
      <c r="J77" s="136"/>
      <c r="K77" s="136"/>
      <c r="L77" s="136"/>
    </row>
    <row r="78" spans="2:12" ht="22.5" customHeight="1">
      <c r="B78" s="136" t="s">
        <v>124</v>
      </c>
      <c r="C78" s="136"/>
      <c r="D78" s="136"/>
      <c r="E78" s="136"/>
      <c r="F78" s="137" t="s">
        <v>128</v>
      </c>
      <c r="G78" s="137"/>
      <c r="H78" s="137"/>
      <c r="I78" s="137"/>
      <c r="J78" s="137"/>
      <c r="K78" s="137"/>
      <c r="L78" s="137"/>
    </row>
    <row r="79" spans="2:12" ht="33.75" customHeight="1">
      <c r="B79" s="137" t="s">
        <v>125</v>
      </c>
      <c r="C79" s="137"/>
      <c r="D79" s="137"/>
      <c r="E79" s="137"/>
      <c r="F79" s="136" t="s">
        <v>129</v>
      </c>
      <c r="G79" s="136"/>
      <c r="H79" s="136"/>
      <c r="I79" s="136"/>
      <c r="J79" s="136"/>
      <c r="K79" s="136"/>
      <c r="L79" s="136"/>
    </row>
    <row r="80" spans="2:12" ht="33.75" customHeight="1">
      <c r="B80" s="136" t="s">
        <v>126</v>
      </c>
      <c r="C80" s="136"/>
      <c r="D80" s="136"/>
      <c r="E80" s="136"/>
      <c r="F80" s="137" t="s">
        <v>130</v>
      </c>
      <c r="G80" s="137"/>
      <c r="H80" s="137"/>
      <c r="I80" s="137"/>
      <c r="J80" s="137"/>
      <c r="K80" s="137"/>
      <c r="L80" s="137"/>
    </row>
    <row r="81" spans="2:12" ht="22.5" customHeight="1">
      <c r="B81" s="87" t="s">
        <v>127</v>
      </c>
      <c r="C81" s="88"/>
      <c r="D81" s="88"/>
      <c r="E81" s="89"/>
      <c r="F81" s="136" t="s">
        <v>131</v>
      </c>
      <c r="G81" s="136"/>
      <c r="H81" s="136"/>
      <c r="I81" s="136"/>
      <c r="J81" s="136"/>
      <c r="K81" s="136"/>
      <c r="L81" s="136"/>
    </row>
    <row r="82" spans="1:12" ht="18.75" customHeight="1">
      <c r="A82" s="35"/>
      <c r="B82" s="36"/>
      <c r="C82" s="36"/>
      <c r="D82" s="36"/>
      <c r="E82" s="36"/>
      <c r="F82" s="147"/>
      <c r="G82" s="147"/>
      <c r="H82" s="147"/>
      <c r="I82" s="147"/>
      <c r="J82" s="147"/>
      <c r="K82" s="147"/>
      <c r="L82" s="35"/>
    </row>
    <row r="83" spans="3:11" ht="13.5" customHeight="1">
      <c r="C83" s="35"/>
      <c r="G83" s="35"/>
      <c r="H83" s="35"/>
      <c r="I83" s="35"/>
      <c r="J83" s="35"/>
      <c r="K83" s="35"/>
    </row>
    <row r="94" spans="1:13" ht="75" customHeight="1">
      <c r="A94" s="126" t="str">
        <f>CONCATENATE("Informacja z wykonania budżetów jednostek samorządu terytorialnego za ",$D$104," ",$C$105," roku")</f>
        <v>Informacja z wykonania budżetów jednostek samorządu terytorialnego za - 2021 roku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ht="13.5" customHeight="1">
      <c r="B95" s="9"/>
    </row>
    <row r="96" spans="2:11" ht="13.5" customHeight="1">
      <c r="B96" s="10"/>
      <c r="C96" s="76"/>
      <c r="D96" s="92"/>
      <c r="E96" s="92"/>
      <c r="F96" s="77"/>
      <c r="G96" s="76" t="s">
        <v>7</v>
      </c>
      <c r="H96" s="77"/>
      <c r="I96" s="76" t="s">
        <v>8</v>
      </c>
      <c r="J96" s="77"/>
      <c r="K96" s="10"/>
    </row>
    <row r="97" spans="2:11" ht="13.5" customHeight="1">
      <c r="B97" s="10"/>
      <c r="C97" s="14"/>
      <c r="D97" s="13"/>
      <c r="E97" s="13"/>
      <c r="F97" s="4"/>
      <c r="G97" s="76" t="s">
        <v>33</v>
      </c>
      <c r="H97" s="77"/>
      <c r="I97" s="76" t="s">
        <v>32</v>
      </c>
      <c r="J97" s="77"/>
      <c r="K97" s="10"/>
    </row>
    <row r="98" spans="2:11" ht="13.5" customHeight="1">
      <c r="B98" s="11"/>
      <c r="C98" s="87" t="s">
        <v>23</v>
      </c>
      <c r="D98" s="88"/>
      <c r="E98" s="88"/>
      <c r="F98" s="89"/>
      <c r="G98" s="141" t="s">
        <v>29</v>
      </c>
      <c r="H98" s="142"/>
      <c r="I98" s="142"/>
      <c r="J98" s="143"/>
      <c r="K98" s="12"/>
    </row>
    <row r="99" spans="2:11" ht="13.5" customHeight="1">
      <c r="B99" s="11"/>
      <c r="C99" s="138" t="s">
        <v>24</v>
      </c>
      <c r="D99" s="139"/>
      <c r="E99" s="139"/>
      <c r="F99" s="140"/>
      <c r="G99" s="144" t="s">
        <v>30</v>
      </c>
      <c r="H99" s="145"/>
      <c r="I99" s="145"/>
      <c r="J99" s="146"/>
      <c r="K99" s="12"/>
    </row>
    <row r="100" spans="2:11" ht="13.5" customHeight="1">
      <c r="B100" s="11"/>
      <c r="C100" s="87" t="s">
        <v>25</v>
      </c>
      <c r="D100" s="88"/>
      <c r="E100" s="88"/>
      <c r="F100" s="89"/>
      <c r="G100" s="141" t="s">
        <v>31</v>
      </c>
      <c r="H100" s="142"/>
      <c r="I100" s="142"/>
      <c r="J100" s="143"/>
      <c r="K100" s="12"/>
    </row>
    <row r="104" spans="2:4" ht="13.5" customHeight="1">
      <c r="B104" s="15" t="s">
        <v>26</v>
      </c>
      <c r="C104" s="15">
        <f>2</f>
        <v>2</v>
      </c>
      <c r="D104" s="15" t="str">
        <f>IF(C104="1","I Kwartał",IF(C104="2","II Kwartały",IF(C104="3","III Kwartały",IF(C104="4","IV Kwartały","-"))))</f>
        <v>-</v>
      </c>
    </row>
    <row r="105" spans="2:4" ht="13.5" customHeight="1">
      <c r="B105" s="15" t="s">
        <v>27</v>
      </c>
      <c r="C105" s="15">
        <f>2021</f>
        <v>2021</v>
      </c>
      <c r="D105" s="16"/>
    </row>
    <row r="106" spans="2:4" ht="13.5" customHeight="1">
      <c r="B106" s="15" t="s">
        <v>28</v>
      </c>
      <c r="C106" s="17" t="str">
        <f>"Aug 18 2021 12:00AM"</f>
        <v>Aug 18 2021 12:00AM</v>
      </c>
      <c r="D106" s="16"/>
    </row>
  </sheetData>
  <sheetProtection/>
  <mergeCells count="111">
    <mergeCell ref="C5:N5"/>
    <mergeCell ref="G69:L69"/>
    <mergeCell ref="K70:K72"/>
    <mergeCell ref="J70:J72"/>
    <mergeCell ref="I70:I72"/>
    <mergeCell ref="H70:H72"/>
    <mergeCell ref="L70:L72"/>
    <mergeCell ref="K6:K10"/>
    <mergeCell ref="L6:L10"/>
    <mergeCell ref="M6:M10"/>
    <mergeCell ref="O5:Q5"/>
    <mergeCell ref="P6:P10"/>
    <mergeCell ref="O6:O10"/>
    <mergeCell ref="Q6:Q10"/>
    <mergeCell ref="F6:F10"/>
    <mergeCell ref="N6:N10"/>
    <mergeCell ref="G6:G10"/>
    <mergeCell ref="H6:H10"/>
    <mergeCell ref="I6:I10"/>
    <mergeCell ref="J6:J10"/>
    <mergeCell ref="B21:Q21"/>
    <mergeCell ref="B22:Q22"/>
    <mergeCell ref="B23:Q23"/>
    <mergeCell ref="F82:K82"/>
    <mergeCell ref="F75:L75"/>
    <mergeCell ref="F76:L76"/>
    <mergeCell ref="B79:E79"/>
    <mergeCell ref="B80:E80"/>
    <mergeCell ref="B81:E81"/>
    <mergeCell ref="A65:M65"/>
    <mergeCell ref="C96:F96"/>
    <mergeCell ref="C98:F98"/>
    <mergeCell ref="C99:F99"/>
    <mergeCell ref="C100:F100"/>
    <mergeCell ref="G100:J100"/>
    <mergeCell ref="G97:H97"/>
    <mergeCell ref="I97:J97"/>
    <mergeCell ref="G98:J98"/>
    <mergeCell ref="G99:J99"/>
    <mergeCell ref="F77:L77"/>
    <mergeCell ref="F78:L78"/>
    <mergeCell ref="F79:L79"/>
    <mergeCell ref="F80:L80"/>
    <mergeCell ref="B75:E75"/>
    <mergeCell ref="B76:E76"/>
    <mergeCell ref="B77:E77"/>
    <mergeCell ref="B78:E78"/>
    <mergeCell ref="B67:M67"/>
    <mergeCell ref="G96:H96"/>
    <mergeCell ref="I96:J96"/>
    <mergeCell ref="B74:E74"/>
    <mergeCell ref="B73:E73"/>
    <mergeCell ref="B69:E72"/>
    <mergeCell ref="F69:F72"/>
    <mergeCell ref="G70:G72"/>
    <mergeCell ref="A94:M94"/>
    <mergeCell ref="F81:L81"/>
    <mergeCell ref="A3:M3"/>
    <mergeCell ref="B16:Q16"/>
    <mergeCell ref="A5:A10"/>
    <mergeCell ref="B5:B10"/>
    <mergeCell ref="B13:Q13"/>
    <mergeCell ref="B14:Q14"/>
    <mergeCell ref="B15:Q15"/>
    <mergeCell ref="D6:D10"/>
    <mergeCell ref="C6:C10"/>
    <mergeCell ref="E6:E10"/>
    <mergeCell ref="A1:M1"/>
    <mergeCell ref="B51:Q51"/>
    <mergeCell ref="B46:Q46"/>
    <mergeCell ref="B47:Q47"/>
    <mergeCell ref="A32:M32"/>
    <mergeCell ref="A34:M34"/>
    <mergeCell ref="A36:A41"/>
    <mergeCell ref="B36:B41"/>
    <mergeCell ref="B44:Q44"/>
    <mergeCell ref="B45:Q45"/>
    <mergeCell ref="B52:Q52"/>
    <mergeCell ref="Q37:Q41"/>
    <mergeCell ref="H37:H41"/>
    <mergeCell ref="G37:G41"/>
    <mergeCell ref="F37:F41"/>
    <mergeCell ref="J37:J41"/>
    <mergeCell ref="K37:K41"/>
    <mergeCell ref="B48:Q48"/>
    <mergeCell ref="B49:Q49"/>
    <mergeCell ref="I37:I41"/>
    <mergeCell ref="O36:Q36"/>
    <mergeCell ref="C36:N36"/>
    <mergeCell ref="P37:P41"/>
    <mergeCell ref="D37:D41"/>
    <mergeCell ref="L37:L41"/>
    <mergeCell ref="M37:M41"/>
    <mergeCell ref="N37:N41"/>
    <mergeCell ref="C37:C41"/>
    <mergeCell ref="B61:Q61"/>
    <mergeCell ref="B60:Q60"/>
    <mergeCell ref="B56:Q56"/>
    <mergeCell ref="B57:Q57"/>
    <mergeCell ref="B58:Q58"/>
    <mergeCell ref="B59:Q59"/>
    <mergeCell ref="B17:Q17"/>
    <mergeCell ref="B18:Q18"/>
    <mergeCell ref="B19:Q19"/>
    <mergeCell ref="B20:Q20"/>
    <mergeCell ref="O37:O41"/>
    <mergeCell ref="B55:Q55"/>
    <mergeCell ref="B53:Q53"/>
    <mergeCell ref="B54:Q54"/>
    <mergeCell ref="B50:Q50"/>
    <mergeCell ref="E37:E41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2016-08-26T11:29:32Z</cp:lastPrinted>
  <dcterms:created xsi:type="dcterms:W3CDTF">2001-05-17T08:58:03Z</dcterms:created>
  <dcterms:modified xsi:type="dcterms:W3CDTF">2021-08-18T11:22:16Z</dcterms:modified>
  <cp:category/>
  <cp:version/>
  <cp:contentType/>
  <cp:contentStatus/>
</cp:coreProperties>
</file>