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\ST7\BeSTi@\2022\III KWARTAŁ\www\MF\Zestawienia zbiorcze\"/>
    </mc:Choice>
  </mc:AlternateContent>
  <bookViews>
    <workbookView xWindow="0" yWindow="0" windowWidth="19200" windowHeight="7300"/>
  </bookViews>
  <sheets>
    <sheet name="zob_nal" sheetId="7" r:id="rId1"/>
  </sheets>
  <calcPr calcId="152511"/>
</workbook>
</file>

<file path=xl/calcChain.xml><?xml version="1.0" encoding="utf-8"?>
<calcChain xmlns="http://schemas.openxmlformats.org/spreadsheetml/2006/main">
  <c r="B96" i="7" l="1"/>
  <c r="B95" i="7"/>
  <c r="B94" i="7"/>
  <c r="B93" i="7"/>
  <c r="I90" i="7"/>
  <c r="G90" i="7"/>
  <c r="I89" i="7"/>
  <c r="G89" i="7"/>
  <c r="I88" i="7"/>
  <c r="G88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3" i="7"/>
  <c r="A1" i="7" s="1"/>
  <c r="A66" i="7" l="1"/>
  <c r="A85" i="7"/>
  <c r="A30" i="7"/>
</calcChain>
</file>

<file path=xl/sharedStrings.xml><?xml version="1.0" encoding="utf-8"?>
<sst xmlns="http://schemas.openxmlformats.org/spreadsheetml/2006/main" count="97" uniqueCount="81">
  <si>
    <t>Wyszczególnienie</t>
  </si>
  <si>
    <t>sektora finansów publicznych (kol.5+7+8)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</si>
  <si>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</si>
  <si>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</si>
  <si>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</si>
  <si>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</si>
  <si>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</si>
  <si>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</si>
  <si>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</si>
  <si>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</si>
  <si>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</si>
  <si>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</si>
  <si>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</si>
  <si>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</si>
  <si>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</si>
  <si>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</si>
  <si>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</si>
  <si>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</si>
  <si>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</si>
  <si>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</si>
  <si>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</si>
  <si>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</si>
  <si>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</si>
  <si>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</si>
  <si>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</si>
  <si>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</si>
  <si>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</si>
  <si>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</si>
  <si>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</si>
  <si>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</si>
  <si>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</si>
  <si>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</si>
  <si>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</si>
  <si>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</si>
  <si>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</si>
  <si>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</si>
  <si>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</si>
  <si>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</si>
  <si>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</si>
  <si>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</si>
  <si>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N5.2 z tytułu podatków i składek na 
ubezpieczenia społ.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</si>
  <si>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</si>
  <si>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</si>
  <si>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</si>
  <si>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</si>
  <si>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</si>
  <si>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</si>
  <si>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</si>
  <si>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</si>
  <si>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</si>
  <si>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</si>
  <si>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</si>
  <si>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</si>
  <si>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</si>
  <si>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</si>
  <si>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</si>
  <si>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</si>
  <si>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</si>
  <si>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</si>
  <si>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</si>
  <si>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</si>
  <si>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</si>
  <si>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</si>
  <si>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</si>
  <si>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</si>
  <si>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</si>
  <si>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</si>
  <si>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</si>
  <si>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</si>
  <si>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</si>
  <si>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</si>
  <si>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</si>
  <si>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wierzyciele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</si>
  <si>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</si>
  <si>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</si>
  <si>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</si>
  <si>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</si>
  <si>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</si>
  <si>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tytul</t>
  </si>
  <si>
    <t>w złotych</t>
  </si>
  <si>
    <t>E4  wymagalne zobowiązania (E4.1+E4.2)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</si>
</sst>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33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8" fillId="0" borderId="0" xfId="37" applyFont="1" applyAlignment="1">
      <alignment horizontal="center" vertical="center" wrapText="1"/>
    </xf>
    <xf numFmtId="0" fontId="28" fillId="0" borderId="0" xfId="37" applyFont="1" applyFill="1" applyBorder="1" applyAlignment="1">
      <alignment horizontal="center" vertical="center" wrapText="1"/>
    </xf>
    <xf numFmtId="0" fontId="4" fillId="19" borderId="10" xfId="37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0" borderId="10" xfId="37" applyFont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0" fontId="8" fillId="20" borderId="10" xfId="37" applyFont="1" applyFill="1" applyBorder="1" applyAlignment="1">
      <alignment horizontal="left" vertical="center" wrapText="1"/>
    </xf>
    <xf numFmtId="4" fontId="7" fillId="20" borderId="10" xfId="37" applyNumberFormat="1" applyFont="1" applyFill="1" applyBorder="1" applyAlignment="1">
      <alignment horizontal="right" vertical="center" wrapText="1"/>
    </xf>
    <xf numFmtId="4" fontId="7" fillId="0" borderId="10" xfId="37" applyNumberFormat="1" applyFont="1" applyBorder="1" applyAlignment="1">
      <alignment horizontal="right" vertical="center" wrapText="1"/>
    </xf>
    <xf numFmtId="4" fontId="7" fillId="2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vertical="center" wrapText="1"/>
    </xf>
    <xf numFmtId="0" fontId="31" fillId="21" borderId="17" xfId="0" applyFont="1" applyFill="1" applyBorder="1" applyAlignment="1">
      <alignment vertical="center" wrapText="1"/>
    </xf>
    <xf numFmtId="0" fontId="29" fillId="19" borderId="19" xfId="37" applyFont="1" applyFill="1" applyBorder="1" applyAlignment="1">
      <alignment horizontal="center" vertical="center" wrapText="1"/>
    </xf>
    <xf numFmtId="0" fontId="29" fillId="19" borderId="20" xfId="37" applyFont="1" applyFill="1" applyBorder="1" applyAlignment="1">
      <alignment horizontal="center" vertical="center" wrapText="1"/>
    </xf>
    <xf numFmtId="0" fontId="29" fillId="19" borderId="12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29" fillId="19" borderId="15" xfId="37" applyFont="1" applyFill="1" applyBorder="1" applyAlignment="1">
      <alignment horizontal="center" vertical="center" wrapText="1"/>
    </xf>
    <xf numFmtId="0" fontId="29" fillId="19" borderId="14" xfId="37" applyFont="1" applyFill="1" applyBorder="1" applyAlignment="1">
      <alignment horizontal="center" vertical="center" wrapText="1"/>
    </xf>
    <xf numFmtId="0" fontId="29" fillId="19" borderId="11" xfId="37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6" fillId="0" borderId="0" xfId="37" applyFont="1" applyAlignment="1">
      <alignment horizontal="left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28" fillId="0" borderId="0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22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30" fillId="19" borderId="10" xfId="37" applyFont="1" applyFill="1" applyBorder="1" applyAlignment="1">
      <alignment horizontal="center" vertical="center" wrapText="1"/>
    </xf>
    <xf numFmtId="0" fontId="7" fillId="19" borderId="22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4" fontId="7" fillId="20" borderId="15" xfId="37" applyNumberFormat="1" applyFont="1" applyFill="1" applyBorder="1" applyAlignment="1">
      <alignment horizontal="right" vertical="center" wrapText="1"/>
    </xf>
    <xf numFmtId="4" fontId="7" fillId="20" borderId="11" xfId="37" applyNumberFormat="1" applyFont="1" applyFill="1" applyBorder="1" applyAlignment="1">
      <alignment horizontal="right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20" borderId="15" xfId="37" applyFont="1" applyFill="1" applyBorder="1" applyAlignment="1">
      <alignment horizontal="left" vertical="center" wrapText="1"/>
    </xf>
    <xf numFmtId="0" fontId="2" fillId="20" borderId="14" xfId="37" applyFont="1" applyFill="1" applyBorder="1" applyAlignment="1">
      <alignment horizontal="left" vertical="center" wrapText="1"/>
    </xf>
    <xf numFmtId="0" fontId="2" fillId="20" borderId="11" xfId="37" applyFont="1" applyFill="1" applyBorder="1" applyAlignment="1">
      <alignment horizontal="left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3" fontId="7" fillId="20" borderId="15" xfId="37" applyNumberFormat="1" applyFont="1" applyFill="1" applyBorder="1" applyAlignment="1">
      <alignment horizontal="right" vertical="center" wrapText="1"/>
    </xf>
    <xf numFmtId="3" fontId="7" fillId="20" borderId="11" xfId="37" applyNumberFormat="1" applyFont="1" applyFill="1" applyBorder="1" applyAlignment="1">
      <alignment horizontal="right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30" fillId="19" borderId="10" xfId="37" applyNumberFormat="1" applyFont="1" applyFill="1" applyBorder="1" applyAlignment="1">
      <alignment horizontal="center" vertical="center" wrapText="1"/>
    </xf>
    <xf numFmtId="0" fontId="4" fillId="19" borderId="10" xfId="37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96"/>
  <sheetViews>
    <sheetView tabSelected="1" zoomScaleNormal="100" zoomScaleSheetLayoutView="50" workbookViewId="0">
      <selection activeCell="A6" sqref="A6:A10"/>
    </sheetView>
  </sheetViews>
  <sheetFormatPr defaultColWidth="9.1796875" defaultRowHeight="13.5" customHeight="1" x14ac:dyDescent="0.25"/>
  <cols>
    <col min="1" max="1" width="22.54296875" style="2" customWidth="1"/>
    <col min="2" max="3" width="13.7265625" style="2" customWidth="1"/>
    <col min="4" max="4" width="12.453125" style="2" customWidth="1"/>
    <col min="5" max="6" width="11.453125" style="2" customWidth="1"/>
    <col min="7" max="7" width="12.7265625" style="2" customWidth="1"/>
    <col min="8" max="8" width="9.7265625" style="2" customWidth="1"/>
    <col min="9" max="9" width="10.7265625" style="2" customWidth="1"/>
    <col min="10" max="10" width="14" style="2" customWidth="1"/>
    <col min="11" max="11" width="12.1796875" style="2" customWidth="1"/>
    <col min="12" max="12" width="11.453125" style="2" customWidth="1"/>
    <col min="13" max="13" width="12" style="2" customWidth="1"/>
    <col min="14" max="14" width="11.7265625" style="2" customWidth="1"/>
    <col min="15" max="15" width="11.1796875" style="2" customWidth="1"/>
    <col min="16" max="16" width="12.54296875" style="2" customWidth="1"/>
    <col min="17" max="16384" width="9.1796875" style="2"/>
  </cols>
  <sheetData>
    <row r="1" spans="1:17" ht="75" customHeight="1" x14ac:dyDescent="0.25">
      <c r="A1" s="36" t="str">
        <f>CONCATENATE("Informacja z wykonania budżetów miast na prawach powiatu za  ",$C$93," ",$B$94," roku     ",$B$96,"")</f>
        <v xml:space="preserve">Informacja z wykonania budżetów miast na prawach powiatu za  III Kwartały 2022 roku     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7" ht="1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5">
      <c r="A3" s="37" t="s">
        <v>64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5" spans="1:17" ht="13.5" customHeight="1" x14ac:dyDescent="0.25">
      <c r="B5" s="12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11"/>
      <c r="O5" s="11"/>
      <c r="P5" s="11"/>
      <c r="Q5" s="11"/>
    </row>
    <row r="6" spans="1:17" ht="13.5" customHeight="1" x14ac:dyDescent="0.25">
      <c r="A6" s="26" t="s">
        <v>0</v>
      </c>
      <c r="B6" s="38" t="s">
        <v>65</v>
      </c>
      <c r="C6" s="50" t="s">
        <v>69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  <c r="O6" s="50" t="s">
        <v>68</v>
      </c>
      <c r="P6" s="51"/>
      <c r="Q6" s="52"/>
    </row>
    <row r="7" spans="1:17" ht="13.5" customHeight="1" x14ac:dyDescent="0.25">
      <c r="A7" s="27"/>
      <c r="B7" s="29"/>
      <c r="C7" s="30" t="s">
        <v>66</v>
      </c>
      <c r="D7" s="30" t="s">
        <v>1</v>
      </c>
      <c r="E7" s="30" t="s">
        <v>70</v>
      </c>
      <c r="F7" s="30" t="s">
        <v>71</v>
      </c>
      <c r="G7" s="30" t="s">
        <v>28</v>
      </c>
      <c r="H7" s="30" t="s">
        <v>29</v>
      </c>
      <c r="I7" s="44" t="s">
        <v>67</v>
      </c>
      <c r="J7" s="30" t="s">
        <v>17</v>
      </c>
      <c r="K7" s="30" t="s">
        <v>18</v>
      </c>
      <c r="L7" s="30" t="s">
        <v>19</v>
      </c>
      <c r="M7" s="30" t="s">
        <v>20</v>
      </c>
      <c r="N7" s="29" t="s">
        <v>21</v>
      </c>
      <c r="O7" s="31" t="s">
        <v>22</v>
      </c>
      <c r="P7" s="31" t="s">
        <v>23</v>
      </c>
      <c r="Q7" s="31" t="s">
        <v>24</v>
      </c>
    </row>
    <row r="8" spans="1:17" ht="13.5" customHeight="1" x14ac:dyDescent="0.25">
      <c r="A8" s="27"/>
      <c r="B8" s="29"/>
      <c r="C8" s="31"/>
      <c r="D8" s="31"/>
      <c r="E8" s="31"/>
      <c r="F8" s="31"/>
      <c r="G8" s="31"/>
      <c r="H8" s="31"/>
      <c r="I8" s="44"/>
      <c r="J8" s="31"/>
      <c r="K8" s="31"/>
      <c r="L8" s="31"/>
      <c r="M8" s="31"/>
      <c r="N8" s="29"/>
      <c r="O8" s="31"/>
      <c r="P8" s="31"/>
      <c r="Q8" s="31"/>
    </row>
    <row r="9" spans="1:17" ht="11.25" customHeight="1" x14ac:dyDescent="0.25">
      <c r="A9" s="27"/>
      <c r="B9" s="29"/>
      <c r="C9" s="31"/>
      <c r="D9" s="31"/>
      <c r="E9" s="31"/>
      <c r="F9" s="31"/>
      <c r="G9" s="31"/>
      <c r="H9" s="31"/>
      <c r="I9" s="44"/>
      <c r="J9" s="31"/>
      <c r="K9" s="31"/>
      <c r="L9" s="31"/>
      <c r="M9" s="31"/>
      <c r="N9" s="29"/>
      <c r="O9" s="31"/>
      <c r="P9" s="31"/>
      <c r="Q9" s="31"/>
    </row>
    <row r="10" spans="1:17" ht="11.25" customHeight="1" x14ac:dyDescent="0.25">
      <c r="A10" s="28"/>
      <c r="B10" s="30"/>
      <c r="C10" s="31"/>
      <c r="D10" s="31"/>
      <c r="E10" s="31"/>
      <c r="F10" s="31"/>
      <c r="G10" s="31"/>
      <c r="H10" s="31"/>
      <c r="I10" s="45"/>
      <c r="J10" s="31"/>
      <c r="K10" s="31"/>
      <c r="L10" s="31"/>
      <c r="M10" s="31"/>
      <c r="N10" s="30"/>
      <c r="O10" s="31"/>
      <c r="P10" s="31"/>
      <c r="Q10" s="31"/>
    </row>
    <row r="11" spans="1:17" ht="11.25" customHeight="1" x14ac:dyDescent="0.25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</row>
    <row r="12" spans="1:17" ht="13.5" customHeight="1" x14ac:dyDescent="0.25">
      <c r="A12" s="14"/>
      <c r="B12" s="77" t="s">
        <v>79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9"/>
    </row>
    <row r="13" spans="1:17" ht="38.25" customHeight="1" x14ac:dyDescent="0.25">
      <c r="A13" s="20" t="s">
        <v>47</v>
      </c>
      <c r="B13" s="21">
        <f>43233118387.68</f>
        <v>43233118387.68</v>
      </c>
      <c r="C13" s="21">
        <f>21801633320.71</f>
        <v>21801633320.709999</v>
      </c>
      <c r="D13" s="21">
        <f>465750886.78</f>
        <v>465750886.77999997</v>
      </c>
      <c r="E13" s="21">
        <f>155.48</f>
        <v>155.47999999999999</v>
      </c>
      <c r="F13" s="21">
        <f>255106833.08</f>
        <v>255106833.08000001</v>
      </c>
      <c r="G13" s="21">
        <f>210643898.22</f>
        <v>210643898.22</v>
      </c>
      <c r="H13" s="21">
        <f>0</f>
        <v>0</v>
      </c>
      <c r="I13" s="21">
        <f>0</f>
        <v>0</v>
      </c>
      <c r="J13" s="21">
        <f>18951735753.87</f>
        <v>18951735753.869999</v>
      </c>
      <c r="K13" s="21">
        <f>780437264.9</f>
        <v>780437264.89999998</v>
      </c>
      <c r="L13" s="21">
        <f>1591332096.59</f>
        <v>1591332096.5899999</v>
      </c>
      <c r="M13" s="21">
        <f>11172253.67</f>
        <v>11172253.67</v>
      </c>
      <c r="N13" s="21">
        <f>1205064.9</f>
        <v>1205064.8999999999</v>
      </c>
      <c r="O13" s="21">
        <f>21431485066.97</f>
        <v>21431485066.970001</v>
      </c>
      <c r="P13" s="21">
        <f>21147962395.43</f>
        <v>21147962395.43</v>
      </c>
      <c r="Q13" s="21">
        <f>283522671.54</f>
        <v>283522671.54000002</v>
      </c>
    </row>
    <row r="14" spans="1:17" ht="38.25" customHeight="1" x14ac:dyDescent="0.25">
      <c r="A14" s="20" t="s">
        <v>48</v>
      </c>
      <c r="B14" s="21">
        <f>3105531000</f>
        <v>3105531000</v>
      </c>
      <c r="C14" s="21">
        <f>3105531000</f>
        <v>3105531000</v>
      </c>
      <c r="D14" s="21">
        <f>0</f>
        <v>0</v>
      </c>
      <c r="E14" s="21">
        <f>0</f>
        <v>0</v>
      </c>
      <c r="F14" s="21">
        <f>0</f>
        <v>0</v>
      </c>
      <c r="G14" s="21">
        <f>0</f>
        <v>0</v>
      </c>
      <c r="H14" s="21">
        <f>0</f>
        <v>0</v>
      </c>
      <c r="I14" s="21">
        <f>0</f>
        <v>0</v>
      </c>
      <c r="J14" s="21">
        <f>2938031000</f>
        <v>2938031000</v>
      </c>
      <c r="K14" s="21">
        <f>167500000</f>
        <v>167500000</v>
      </c>
      <c r="L14" s="21">
        <f>0</f>
        <v>0</v>
      </c>
      <c r="M14" s="21">
        <f>0</f>
        <v>0</v>
      </c>
      <c r="N14" s="21">
        <f>0</f>
        <v>0</v>
      </c>
      <c r="O14" s="21">
        <f>0</f>
        <v>0</v>
      </c>
      <c r="P14" s="21">
        <f>0</f>
        <v>0</v>
      </c>
      <c r="Q14" s="21">
        <f>0</f>
        <v>0</v>
      </c>
    </row>
    <row r="15" spans="1:17" ht="38.25" customHeight="1" x14ac:dyDescent="0.25">
      <c r="A15" s="18" t="s">
        <v>49</v>
      </c>
      <c r="B15" s="22">
        <f>0</f>
        <v>0</v>
      </c>
      <c r="C15" s="22">
        <f>0</f>
        <v>0</v>
      </c>
      <c r="D15" s="22">
        <f>0</f>
        <v>0</v>
      </c>
      <c r="E15" s="22">
        <f>0</f>
        <v>0</v>
      </c>
      <c r="F15" s="22">
        <f>0</f>
        <v>0</v>
      </c>
      <c r="G15" s="22">
        <f>0</f>
        <v>0</v>
      </c>
      <c r="H15" s="22">
        <f>0</f>
        <v>0</v>
      </c>
      <c r="I15" s="22">
        <f>0</f>
        <v>0</v>
      </c>
      <c r="J15" s="22">
        <f>0</f>
        <v>0</v>
      </c>
      <c r="K15" s="22">
        <f>0</f>
        <v>0</v>
      </c>
      <c r="L15" s="22">
        <f>0</f>
        <v>0</v>
      </c>
      <c r="M15" s="22">
        <f>0</f>
        <v>0</v>
      </c>
      <c r="N15" s="22">
        <f>0</f>
        <v>0</v>
      </c>
      <c r="O15" s="22">
        <f>0</f>
        <v>0</v>
      </c>
      <c r="P15" s="22">
        <f>0</f>
        <v>0</v>
      </c>
      <c r="Q15" s="22">
        <f>0</f>
        <v>0</v>
      </c>
    </row>
    <row r="16" spans="1:17" ht="38.25" customHeight="1" x14ac:dyDescent="0.25">
      <c r="A16" s="18" t="s">
        <v>50</v>
      </c>
      <c r="B16" s="22">
        <f>3105531000</f>
        <v>3105531000</v>
      </c>
      <c r="C16" s="22">
        <f>3105531000</f>
        <v>3105531000</v>
      </c>
      <c r="D16" s="22">
        <f>0</f>
        <v>0</v>
      </c>
      <c r="E16" s="22">
        <f>0</f>
        <v>0</v>
      </c>
      <c r="F16" s="22">
        <f>0</f>
        <v>0</v>
      </c>
      <c r="G16" s="22">
        <f>0</f>
        <v>0</v>
      </c>
      <c r="H16" s="22">
        <f>0</f>
        <v>0</v>
      </c>
      <c r="I16" s="22">
        <f>0</f>
        <v>0</v>
      </c>
      <c r="J16" s="22">
        <f>2938031000</f>
        <v>2938031000</v>
      </c>
      <c r="K16" s="22">
        <f>167500000</f>
        <v>167500000</v>
      </c>
      <c r="L16" s="22">
        <f>0</f>
        <v>0</v>
      </c>
      <c r="M16" s="22">
        <f>0</f>
        <v>0</v>
      </c>
      <c r="N16" s="22">
        <f>0</f>
        <v>0</v>
      </c>
      <c r="O16" s="22">
        <f>0</f>
        <v>0</v>
      </c>
      <c r="P16" s="22">
        <f>0</f>
        <v>0</v>
      </c>
      <c r="Q16" s="22">
        <f>0</f>
        <v>0</v>
      </c>
    </row>
    <row r="17" spans="1:17" ht="38.25" customHeight="1" x14ac:dyDescent="0.25">
      <c r="A17" s="20" t="s">
        <v>51</v>
      </c>
      <c r="B17" s="21">
        <f>40106858782.2</f>
        <v>40106858782.199997</v>
      </c>
      <c r="C17" s="21">
        <f>18675373715.23</f>
        <v>18675373715.23</v>
      </c>
      <c r="D17" s="21">
        <f>459198118.57</f>
        <v>459198118.56999999</v>
      </c>
      <c r="E17" s="21">
        <f>0</f>
        <v>0</v>
      </c>
      <c r="F17" s="21">
        <f>255106833.08</f>
        <v>255106833.08000001</v>
      </c>
      <c r="G17" s="21">
        <f>204091285.49</f>
        <v>204091285.49000001</v>
      </c>
      <c r="H17" s="21">
        <f>0</f>
        <v>0</v>
      </c>
      <c r="I17" s="21">
        <f>0</f>
        <v>0</v>
      </c>
      <c r="J17" s="21">
        <f>16013704753.87</f>
        <v>16013704753.870001</v>
      </c>
      <c r="K17" s="21">
        <f>612937264.9</f>
        <v>612937264.89999998</v>
      </c>
      <c r="L17" s="21">
        <f>1589290724.4</f>
        <v>1589290724.4000001</v>
      </c>
      <c r="M17" s="21">
        <f>242853.49</f>
        <v>242853.49</v>
      </c>
      <c r="N17" s="21">
        <f>0</f>
        <v>0</v>
      </c>
      <c r="O17" s="21">
        <f>21431485066.97</f>
        <v>21431485066.970001</v>
      </c>
      <c r="P17" s="21">
        <f>21147962395.43</f>
        <v>21147962395.43</v>
      </c>
      <c r="Q17" s="21">
        <f>283522671.54</f>
        <v>283522671.54000002</v>
      </c>
    </row>
    <row r="18" spans="1:17" ht="38.25" customHeight="1" x14ac:dyDescent="0.25">
      <c r="A18" s="18" t="s">
        <v>52</v>
      </c>
      <c r="B18" s="22">
        <f>183431059.15</f>
        <v>183431059.15000001</v>
      </c>
      <c r="C18" s="22">
        <f>183431059.15</f>
        <v>183431059.15000001</v>
      </c>
      <c r="D18" s="22">
        <f>0</f>
        <v>0</v>
      </c>
      <c r="E18" s="22">
        <f>0</f>
        <v>0</v>
      </c>
      <c r="F18" s="22">
        <f>0</f>
        <v>0</v>
      </c>
      <c r="G18" s="22">
        <f>0</f>
        <v>0</v>
      </c>
      <c r="H18" s="22">
        <f>0</f>
        <v>0</v>
      </c>
      <c r="I18" s="22">
        <f>0</f>
        <v>0</v>
      </c>
      <c r="J18" s="22">
        <f>183326059.15</f>
        <v>183326059.15000001</v>
      </c>
      <c r="K18" s="22">
        <f>0</f>
        <v>0</v>
      </c>
      <c r="L18" s="22">
        <f>0</f>
        <v>0</v>
      </c>
      <c r="M18" s="22">
        <f>105000</f>
        <v>105000</v>
      </c>
      <c r="N18" s="22">
        <f>0</f>
        <v>0</v>
      </c>
      <c r="O18" s="22">
        <f>0</f>
        <v>0</v>
      </c>
      <c r="P18" s="22">
        <f>0</f>
        <v>0</v>
      </c>
      <c r="Q18" s="22">
        <f>0</f>
        <v>0</v>
      </c>
    </row>
    <row r="19" spans="1:17" ht="38.25" customHeight="1" x14ac:dyDescent="0.25">
      <c r="A19" s="18" t="s">
        <v>53</v>
      </c>
      <c r="B19" s="22">
        <f>39923427723.05</f>
        <v>39923427723.050003</v>
      </c>
      <c r="C19" s="22">
        <f>18491942656.08</f>
        <v>18491942656.080002</v>
      </c>
      <c r="D19" s="22">
        <f>459198118.57</f>
        <v>459198118.56999999</v>
      </c>
      <c r="E19" s="22">
        <f>0</f>
        <v>0</v>
      </c>
      <c r="F19" s="22">
        <f>255106833.08</f>
        <v>255106833.08000001</v>
      </c>
      <c r="G19" s="22">
        <f>204091285.49</f>
        <v>204091285.49000001</v>
      </c>
      <c r="H19" s="22">
        <f>0</f>
        <v>0</v>
      </c>
      <c r="I19" s="22">
        <f>0</f>
        <v>0</v>
      </c>
      <c r="J19" s="22">
        <f>15830378694.72</f>
        <v>15830378694.719999</v>
      </c>
      <c r="K19" s="22">
        <f>612937264.9</f>
        <v>612937264.89999998</v>
      </c>
      <c r="L19" s="22">
        <f>1589290724.4</f>
        <v>1589290724.4000001</v>
      </c>
      <c r="M19" s="22">
        <f>137853.49</f>
        <v>137853.49</v>
      </c>
      <c r="N19" s="22">
        <f>0</f>
        <v>0</v>
      </c>
      <c r="O19" s="22">
        <f>21431485066.97</f>
        <v>21431485066.970001</v>
      </c>
      <c r="P19" s="22">
        <f>21147962395.43</f>
        <v>21147962395.43</v>
      </c>
      <c r="Q19" s="22">
        <f>283522671.54</f>
        <v>283522671.54000002</v>
      </c>
    </row>
    <row r="20" spans="1:17" ht="38.25" customHeight="1" x14ac:dyDescent="0.25">
      <c r="A20" s="20" t="s">
        <v>54</v>
      </c>
      <c r="B20" s="21">
        <f>0</f>
        <v>0</v>
      </c>
      <c r="C20" s="21">
        <f>0</f>
        <v>0</v>
      </c>
      <c r="D20" s="21">
        <f>0</f>
        <v>0</v>
      </c>
      <c r="E20" s="21">
        <f>0</f>
        <v>0</v>
      </c>
      <c r="F20" s="21">
        <f>0</f>
        <v>0</v>
      </c>
      <c r="G20" s="21">
        <f>0</f>
        <v>0</v>
      </c>
      <c r="H20" s="21">
        <f>0</f>
        <v>0</v>
      </c>
      <c r="I20" s="21">
        <f>0</f>
        <v>0</v>
      </c>
      <c r="J20" s="21">
        <f>0</f>
        <v>0</v>
      </c>
      <c r="K20" s="21">
        <f>0</f>
        <v>0</v>
      </c>
      <c r="L20" s="21">
        <f>0</f>
        <v>0</v>
      </c>
      <c r="M20" s="21">
        <f>0</f>
        <v>0</v>
      </c>
      <c r="N20" s="21">
        <f>0</f>
        <v>0</v>
      </c>
      <c r="O20" s="21">
        <f>0</f>
        <v>0</v>
      </c>
      <c r="P20" s="21">
        <f>0</f>
        <v>0</v>
      </c>
      <c r="Q20" s="21">
        <f>0</f>
        <v>0</v>
      </c>
    </row>
    <row r="21" spans="1:17" ht="38.25" customHeight="1" x14ac:dyDescent="0.25">
      <c r="A21" s="20" t="s">
        <v>80</v>
      </c>
      <c r="B21" s="21">
        <f>20728605.48</f>
        <v>20728605.48</v>
      </c>
      <c r="C21" s="21">
        <f>20728605.48</f>
        <v>20728605.48</v>
      </c>
      <c r="D21" s="21">
        <f>6552768.21</f>
        <v>6552768.21</v>
      </c>
      <c r="E21" s="21">
        <f>155.48</f>
        <v>155.47999999999999</v>
      </c>
      <c r="F21" s="21">
        <f>0</f>
        <v>0</v>
      </c>
      <c r="G21" s="21">
        <f>6552612.73</f>
        <v>6552612.7300000004</v>
      </c>
      <c r="H21" s="21">
        <f>0</f>
        <v>0</v>
      </c>
      <c r="I21" s="21">
        <f>0</f>
        <v>0</v>
      </c>
      <c r="J21" s="21">
        <f>0</f>
        <v>0</v>
      </c>
      <c r="K21" s="21">
        <f>0</f>
        <v>0</v>
      </c>
      <c r="L21" s="21">
        <f>2041372.19</f>
        <v>2041372.19</v>
      </c>
      <c r="M21" s="21">
        <f>10929400.18</f>
        <v>10929400.18</v>
      </c>
      <c r="N21" s="21">
        <f>1205064.9</f>
        <v>1205064.8999999999</v>
      </c>
      <c r="O21" s="21">
        <f>0</f>
        <v>0</v>
      </c>
      <c r="P21" s="21">
        <f>0</f>
        <v>0</v>
      </c>
      <c r="Q21" s="21">
        <f>0</f>
        <v>0</v>
      </c>
    </row>
    <row r="22" spans="1:17" ht="38.25" customHeight="1" x14ac:dyDescent="0.25">
      <c r="A22" s="18" t="s">
        <v>55</v>
      </c>
      <c r="B22" s="22">
        <f>13996868.41</f>
        <v>13996868.41</v>
      </c>
      <c r="C22" s="22">
        <f>13996868.41</f>
        <v>13996868.41</v>
      </c>
      <c r="D22" s="22">
        <f>2768000.15</f>
        <v>2768000.15</v>
      </c>
      <c r="E22" s="22">
        <f>155.48</f>
        <v>155.47999999999999</v>
      </c>
      <c r="F22" s="22">
        <f>0</f>
        <v>0</v>
      </c>
      <c r="G22" s="22">
        <f>2767844.67</f>
        <v>2767844.67</v>
      </c>
      <c r="H22" s="22">
        <f>0</f>
        <v>0</v>
      </c>
      <c r="I22" s="22">
        <f>0</f>
        <v>0</v>
      </c>
      <c r="J22" s="22">
        <f>0</f>
        <v>0</v>
      </c>
      <c r="K22" s="22">
        <f>0</f>
        <v>0</v>
      </c>
      <c r="L22" s="22">
        <f>187020.79</f>
        <v>187020.79</v>
      </c>
      <c r="M22" s="22">
        <f>9846865.87</f>
        <v>9846865.8699999992</v>
      </c>
      <c r="N22" s="22">
        <f>1194981.6</f>
        <v>1194981.6000000001</v>
      </c>
      <c r="O22" s="22">
        <f>0</f>
        <v>0</v>
      </c>
      <c r="P22" s="22">
        <f>0</f>
        <v>0</v>
      </c>
      <c r="Q22" s="22">
        <f>0</f>
        <v>0</v>
      </c>
    </row>
    <row r="23" spans="1:17" ht="38.25" customHeight="1" x14ac:dyDescent="0.25">
      <c r="A23" s="18" t="s">
        <v>56</v>
      </c>
      <c r="B23" s="22">
        <f>6731737.07</f>
        <v>6731737.0700000003</v>
      </c>
      <c r="C23" s="22">
        <f>6731737.07</f>
        <v>6731737.0700000003</v>
      </c>
      <c r="D23" s="22">
        <f>3784768.06</f>
        <v>3784768.06</v>
      </c>
      <c r="E23" s="22">
        <f>0</f>
        <v>0</v>
      </c>
      <c r="F23" s="22">
        <f>0</f>
        <v>0</v>
      </c>
      <c r="G23" s="22">
        <f>3784768.06</f>
        <v>3784768.06</v>
      </c>
      <c r="H23" s="22">
        <f>0</f>
        <v>0</v>
      </c>
      <c r="I23" s="22">
        <f>0</f>
        <v>0</v>
      </c>
      <c r="J23" s="22">
        <f>0</f>
        <v>0</v>
      </c>
      <c r="K23" s="22">
        <f>0</f>
        <v>0</v>
      </c>
      <c r="L23" s="22">
        <f>1854351.4</f>
        <v>1854351.4</v>
      </c>
      <c r="M23" s="22">
        <f>1082534.31</f>
        <v>1082534.31</v>
      </c>
      <c r="N23" s="22">
        <f>10083.3</f>
        <v>10083.299999999999</v>
      </c>
      <c r="O23" s="22">
        <f>0</f>
        <v>0</v>
      </c>
      <c r="P23" s="22">
        <f>0</f>
        <v>0</v>
      </c>
      <c r="Q23" s="22">
        <f>0</f>
        <v>0</v>
      </c>
    </row>
    <row r="24" spans="1:17" ht="19.5" customHeight="1" x14ac:dyDescent="0.2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19.5" customHeight="1" x14ac:dyDescent="0.2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19.5" customHeight="1" x14ac:dyDescent="0.2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9.5" customHeight="1" x14ac:dyDescent="0.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19.5" customHeight="1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19.5" customHeight="1" x14ac:dyDescent="0.2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45.75" customHeight="1" x14ac:dyDescent="0.25">
      <c r="A30" s="36" t="str">
        <f>CONCATENATE("Informacja z wykonania budżetów miast na prawach powiatu za  ",$C$93," ",$B$94," roku     ",$B$96,"")</f>
        <v xml:space="preserve">Informacja z wykonania budżetów miast na prawach powiatu za  III Kwartały 2022 roku     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2" spans="1:17" ht="13.5" customHeight="1" x14ac:dyDescent="0.25">
      <c r="A32" s="37" t="s">
        <v>12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4" spans="1:17" ht="13.5" customHeight="1" x14ac:dyDescent="0.25">
      <c r="A34" s="26" t="s">
        <v>0</v>
      </c>
      <c r="B34" s="38" t="s">
        <v>13</v>
      </c>
      <c r="C34" s="33" t="s"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33" t="s">
        <v>25</v>
      </c>
      <c r="P34" s="34"/>
      <c r="Q34" s="35"/>
    </row>
    <row r="35" spans="1:17" ht="13.5" customHeight="1" x14ac:dyDescent="0.25">
      <c r="A35" s="27"/>
      <c r="B35" s="29"/>
      <c r="C35" s="29" t="s">
        <v>14</v>
      </c>
      <c r="D35" s="31" t="s">
        <v>16</v>
      </c>
      <c r="E35" s="31" t="s">
        <v>26</v>
      </c>
      <c r="F35" s="31" t="s">
        <v>27</v>
      </c>
      <c r="G35" s="31" t="s">
        <v>75</v>
      </c>
      <c r="H35" s="31" t="s">
        <v>29</v>
      </c>
      <c r="I35" s="31" t="s">
        <v>2</v>
      </c>
      <c r="J35" s="31" t="s">
        <v>17</v>
      </c>
      <c r="K35" s="31" t="s">
        <v>18</v>
      </c>
      <c r="L35" s="31" t="s">
        <v>19</v>
      </c>
      <c r="M35" s="31" t="s">
        <v>20</v>
      </c>
      <c r="N35" s="75" t="s">
        <v>21</v>
      </c>
      <c r="O35" s="31" t="s">
        <v>22</v>
      </c>
      <c r="P35" s="31" t="s">
        <v>23</v>
      </c>
      <c r="Q35" s="38" t="s">
        <v>24</v>
      </c>
    </row>
    <row r="36" spans="1:17" ht="11.25" customHeight="1" x14ac:dyDescent="0.25">
      <c r="A36" s="27"/>
      <c r="B36" s="29"/>
      <c r="C36" s="29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5"/>
      <c r="O36" s="31"/>
      <c r="P36" s="31"/>
      <c r="Q36" s="29"/>
    </row>
    <row r="37" spans="1:17" ht="24.75" customHeight="1" x14ac:dyDescent="0.25">
      <c r="A37" s="28"/>
      <c r="B37" s="30"/>
      <c r="C37" s="3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5"/>
      <c r="O37" s="31"/>
      <c r="P37" s="31"/>
      <c r="Q37" s="30"/>
    </row>
    <row r="38" spans="1:17" ht="13.5" customHeight="1" x14ac:dyDescent="0.25">
      <c r="A38" s="14">
        <v>1</v>
      </c>
      <c r="B38" s="14">
        <v>2</v>
      </c>
      <c r="C38" s="14">
        <v>3</v>
      </c>
      <c r="D38" s="14">
        <v>4</v>
      </c>
      <c r="E38" s="14">
        <v>5</v>
      </c>
      <c r="F38" s="14">
        <v>6</v>
      </c>
      <c r="G38" s="14">
        <v>7</v>
      </c>
      <c r="H38" s="14">
        <v>8</v>
      </c>
      <c r="I38" s="14">
        <v>9</v>
      </c>
      <c r="J38" s="14">
        <v>10</v>
      </c>
      <c r="K38" s="14">
        <v>11</v>
      </c>
      <c r="L38" s="14">
        <v>12</v>
      </c>
      <c r="M38" s="14">
        <v>13</v>
      </c>
      <c r="N38" s="14">
        <v>14</v>
      </c>
      <c r="O38" s="14">
        <v>15</v>
      </c>
      <c r="P38" s="14">
        <v>16</v>
      </c>
      <c r="Q38" s="14">
        <v>17</v>
      </c>
    </row>
    <row r="39" spans="1:17" ht="12.75" customHeight="1" x14ac:dyDescent="0.25">
      <c r="A39" s="13"/>
      <c r="B39" s="61" t="s">
        <v>79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62"/>
    </row>
    <row r="40" spans="1:17" ht="26.25" customHeight="1" x14ac:dyDescent="0.25">
      <c r="A40" s="25" t="s">
        <v>42</v>
      </c>
      <c r="B40" s="23">
        <f>14770376.86</f>
        <v>14770376.859999999</v>
      </c>
      <c r="C40" s="23">
        <f>14770376.86</f>
        <v>14770376.859999999</v>
      </c>
      <c r="D40" s="23">
        <f>926428</f>
        <v>926428</v>
      </c>
      <c r="E40" s="23">
        <f>74021</f>
        <v>74021</v>
      </c>
      <c r="F40" s="23">
        <f>0</f>
        <v>0</v>
      </c>
      <c r="G40" s="23">
        <f>852407</f>
        <v>852407</v>
      </c>
      <c r="H40" s="23">
        <f>0</f>
        <v>0</v>
      </c>
      <c r="I40" s="23">
        <f>0</f>
        <v>0</v>
      </c>
      <c r="J40" s="23">
        <f>0</f>
        <v>0</v>
      </c>
      <c r="K40" s="23">
        <f>4560</f>
        <v>4560</v>
      </c>
      <c r="L40" s="23">
        <f>1821530.37</f>
        <v>1821530.37</v>
      </c>
      <c r="M40" s="23">
        <f>12017858.49</f>
        <v>12017858.49</v>
      </c>
      <c r="N40" s="23">
        <f>0</f>
        <v>0</v>
      </c>
      <c r="O40" s="23">
        <f>0</f>
        <v>0</v>
      </c>
      <c r="P40" s="23">
        <f>0</f>
        <v>0</v>
      </c>
      <c r="Q40" s="23">
        <f>0</f>
        <v>0</v>
      </c>
    </row>
    <row r="41" spans="1:17" ht="26.25" customHeight="1" x14ac:dyDescent="0.25">
      <c r="A41" s="19" t="s">
        <v>30</v>
      </c>
      <c r="B41" s="24">
        <f>14661526.96</f>
        <v>14661526.960000001</v>
      </c>
      <c r="C41" s="24">
        <f>14661526.96</f>
        <v>14661526.960000001</v>
      </c>
      <c r="D41" s="24">
        <f>926428</f>
        <v>926428</v>
      </c>
      <c r="E41" s="24">
        <f>74021</f>
        <v>74021</v>
      </c>
      <c r="F41" s="24">
        <f>0</f>
        <v>0</v>
      </c>
      <c r="G41" s="24">
        <f>852407</f>
        <v>852407</v>
      </c>
      <c r="H41" s="24">
        <f>0</f>
        <v>0</v>
      </c>
      <c r="I41" s="24">
        <f>0</f>
        <v>0</v>
      </c>
      <c r="J41" s="24">
        <f>0</f>
        <v>0</v>
      </c>
      <c r="K41" s="24">
        <f>4560</f>
        <v>4560</v>
      </c>
      <c r="L41" s="24">
        <f>1712680.47</f>
        <v>1712680.47</v>
      </c>
      <c r="M41" s="24">
        <f>12017858.49</f>
        <v>12017858.49</v>
      </c>
      <c r="N41" s="24">
        <f>0</f>
        <v>0</v>
      </c>
      <c r="O41" s="24">
        <f>0</f>
        <v>0</v>
      </c>
      <c r="P41" s="24">
        <f>0</f>
        <v>0</v>
      </c>
      <c r="Q41" s="24">
        <f>0</f>
        <v>0</v>
      </c>
    </row>
    <row r="42" spans="1:17" ht="26.25" customHeight="1" x14ac:dyDescent="0.25">
      <c r="A42" s="19" t="s">
        <v>31</v>
      </c>
      <c r="B42" s="24">
        <f>108849.9</f>
        <v>108849.9</v>
      </c>
      <c r="C42" s="24">
        <f>108849.9</f>
        <v>108849.9</v>
      </c>
      <c r="D42" s="24">
        <f>0</f>
        <v>0</v>
      </c>
      <c r="E42" s="24">
        <f>0</f>
        <v>0</v>
      </c>
      <c r="F42" s="24">
        <f>0</f>
        <v>0</v>
      </c>
      <c r="G42" s="24">
        <f>0</f>
        <v>0</v>
      </c>
      <c r="H42" s="24">
        <f>0</f>
        <v>0</v>
      </c>
      <c r="I42" s="24">
        <f>0</f>
        <v>0</v>
      </c>
      <c r="J42" s="24">
        <f>0</f>
        <v>0</v>
      </c>
      <c r="K42" s="24">
        <f>0</f>
        <v>0</v>
      </c>
      <c r="L42" s="24">
        <f>108849.9</f>
        <v>108849.9</v>
      </c>
      <c r="M42" s="24">
        <f>0</f>
        <v>0</v>
      </c>
      <c r="N42" s="24">
        <f>0</f>
        <v>0</v>
      </c>
      <c r="O42" s="24">
        <f>0</f>
        <v>0</v>
      </c>
      <c r="P42" s="24">
        <f>0</f>
        <v>0</v>
      </c>
      <c r="Q42" s="24">
        <f>0</f>
        <v>0</v>
      </c>
    </row>
    <row r="43" spans="1:17" ht="26.25" customHeight="1" x14ac:dyDescent="0.25">
      <c r="A43" s="25" t="s">
        <v>43</v>
      </c>
      <c r="B43" s="23">
        <f>382042202.4</f>
        <v>382042202.39999998</v>
      </c>
      <c r="C43" s="23">
        <f>382042202.4</f>
        <v>382042202.39999998</v>
      </c>
      <c r="D43" s="23">
        <f>130936719.52</f>
        <v>130936719.52</v>
      </c>
      <c r="E43" s="23">
        <f>0</f>
        <v>0</v>
      </c>
      <c r="F43" s="23">
        <f>17222.5</f>
        <v>17222.5</v>
      </c>
      <c r="G43" s="23">
        <f>130919497.02</f>
        <v>130919497.02</v>
      </c>
      <c r="H43" s="23">
        <f>0</f>
        <v>0</v>
      </c>
      <c r="I43" s="23">
        <f>0</f>
        <v>0</v>
      </c>
      <c r="J43" s="23">
        <f>0</f>
        <v>0</v>
      </c>
      <c r="K43" s="23">
        <f>0</f>
        <v>0</v>
      </c>
      <c r="L43" s="23">
        <f>173938186.71</f>
        <v>173938186.71000001</v>
      </c>
      <c r="M43" s="23">
        <f>70852358.54</f>
        <v>70852358.540000007</v>
      </c>
      <c r="N43" s="23">
        <f>6314937.63</f>
        <v>6314937.6299999999</v>
      </c>
      <c r="O43" s="23">
        <f>0</f>
        <v>0</v>
      </c>
      <c r="P43" s="23">
        <f>0</f>
        <v>0</v>
      </c>
      <c r="Q43" s="23">
        <f>0</f>
        <v>0</v>
      </c>
    </row>
    <row r="44" spans="1:17" ht="26.25" customHeight="1" x14ac:dyDescent="0.25">
      <c r="A44" s="19" t="s">
        <v>32</v>
      </c>
      <c r="B44" s="24">
        <f>44050724.86</f>
        <v>44050724.859999999</v>
      </c>
      <c r="C44" s="24">
        <f>44050724.86</f>
        <v>44050724.859999999</v>
      </c>
      <c r="D44" s="24">
        <f>19556040.13</f>
        <v>19556040.129999999</v>
      </c>
      <c r="E44" s="24">
        <f>0</f>
        <v>0</v>
      </c>
      <c r="F44" s="24">
        <f>0</f>
        <v>0</v>
      </c>
      <c r="G44" s="24">
        <f>19556040.13</f>
        <v>19556040.129999999</v>
      </c>
      <c r="H44" s="24">
        <f>0</f>
        <v>0</v>
      </c>
      <c r="I44" s="24">
        <f>0</f>
        <v>0</v>
      </c>
      <c r="J44" s="24">
        <f>0</f>
        <v>0</v>
      </c>
      <c r="K44" s="24">
        <f>0</f>
        <v>0</v>
      </c>
      <c r="L44" s="24">
        <f>17024568.43</f>
        <v>17024568.43</v>
      </c>
      <c r="M44" s="24">
        <f>6270116.3</f>
        <v>6270116.2999999998</v>
      </c>
      <c r="N44" s="24">
        <f>1200000</f>
        <v>1200000</v>
      </c>
      <c r="O44" s="24">
        <f>0</f>
        <v>0</v>
      </c>
      <c r="P44" s="24">
        <f>0</f>
        <v>0</v>
      </c>
      <c r="Q44" s="24">
        <f>0</f>
        <v>0</v>
      </c>
    </row>
    <row r="45" spans="1:17" ht="26.25" customHeight="1" x14ac:dyDescent="0.25">
      <c r="A45" s="19" t="s">
        <v>33</v>
      </c>
      <c r="B45" s="24">
        <f>337991477.54</f>
        <v>337991477.54000002</v>
      </c>
      <c r="C45" s="24">
        <f>337991477.54</f>
        <v>337991477.54000002</v>
      </c>
      <c r="D45" s="24">
        <f>111380679.39</f>
        <v>111380679.39</v>
      </c>
      <c r="E45" s="24">
        <f>0</f>
        <v>0</v>
      </c>
      <c r="F45" s="24">
        <f>17222.5</f>
        <v>17222.5</v>
      </c>
      <c r="G45" s="24">
        <f>111363456.89</f>
        <v>111363456.89</v>
      </c>
      <c r="H45" s="24">
        <f>0</f>
        <v>0</v>
      </c>
      <c r="I45" s="24">
        <f>0</f>
        <v>0</v>
      </c>
      <c r="J45" s="24">
        <f>0</f>
        <v>0</v>
      </c>
      <c r="K45" s="24">
        <f>0</f>
        <v>0</v>
      </c>
      <c r="L45" s="24">
        <f>156913618.28</f>
        <v>156913618.28</v>
      </c>
      <c r="M45" s="24">
        <f>64582242.24</f>
        <v>64582242.240000002</v>
      </c>
      <c r="N45" s="24">
        <f>5114937.63</f>
        <v>5114937.63</v>
      </c>
      <c r="O45" s="24">
        <f>0</f>
        <v>0</v>
      </c>
      <c r="P45" s="24">
        <f>0</f>
        <v>0</v>
      </c>
      <c r="Q45" s="24">
        <f>0</f>
        <v>0</v>
      </c>
    </row>
    <row r="46" spans="1:17" ht="26.25" customHeight="1" x14ac:dyDescent="0.25">
      <c r="A46" s="25" t="s">
        <v>44</v>
      </c>
      <c r="B46" s="23">
        <f>14388781471.82</f>
        <v>14388781471.82</v>
      </c>
      <c r="C46" s="23">
        <f>14388781471.82</f>
        <v>14388781471.82</v>
      </c>
      <c r="D46" s="23">
        <f>16140736.29</f>
        <v>16140736.289999999</v>
      </c>
      <c r="E46" s="23">
        <f>91163.34</f>
        <v>91163.34</v>
      </c>
      <c r="F46" s="23">
        <f>28291</f>
        <v>28291</v>
      </c>
      <c r="G46" s="23">
        <f>16021281.95</f>
        <v>16021281.949999999</v>
      </c>
      <c r="H46" s="23">
        <f>0</f>
        <v>0</v>
      </c>
      <c r="I46" s="23">
        <f>12514383.32</f>
        <v>12514383.32</v>
      </c>
      <c r="J46" s="23">
        <f>14357930815.25</f>
        <v>14357930815.25</v>
      </c>
      <c r="K46" s="23">
        <f>46751.9</f>
        <v>46751.9</v>
      </c>
      <c r="L46" s="23">
        <f>1941870.89</f>
        <v>1941870.89</v>
      </c>
      <c r="M46" s="23">
        <f>49898.91</f>
        <v>49898.91</v>
      </c>
      <c r="N46" s="23">
        <f>157015.26</f>
        <v>157015.26</v>
      </c>
      <c r="O46" s="23">
        <f>0</f>
        <v>0</v>
      </c>
      <c r="P46" s="23">
        <f>0</f>
        <v>0</v>
      </c>
      <c r="Q46" s="23">
        <f>0</f>
        <v>0</v>
      </c>
    </row>
    <row r="47" spans="1:17" ht="26.25" customHeight="1" x14ac:dyDescent="0.25">
      <c r="A47" s="19" t="s">
        <v>34</v>
      </c>
      <c r="B47" s="24">
        <f>7944248.2</f>
        <v>7944248.2000000002</v>
      </c>
      <c r="C47" s="24">
        <f>7944248.2</f>
        <v>7944248.2000000002</v>
      </c>
      <c r="D47" s="24">
        <f>7944248.2</f>
        <v>7944248.2000000002</v>
      </c>
      <c r="E47" s="24">
        <f>0</f>
        <v>0</v>
      </c>
      <c r="F47" s="24">
        <f>0</f>
        <v>0</v>
      </c>
      <c r="G47" s="24">
        <f>7944248.2</f>
        <v>7944248.2000000002</v>
      </c>
      <c r="H47" s="24">
        <f>0</f>
        <v>0</v>
      </c>
      <c r="I47" s="24">
        <f>0</f>
        <v>0</v>
      </c>
      <c r="J47" s="24">
        <f>0</f>
        <v>0</v>
      </c>
      <c r="K47" s="24">
        <f>0</f>
        <v>0</v>
      </c>
      <c r="L47" s="24">
        <f>0</f>
        <v>0</v>
      </c>
      <c r="M47" s="24">
        <f>0</f>
        <v>0</v>
      </c>
      <c r="N47" s="24">
        <f>0</f>
        <v>0</v>
      </c>
      <c r="O47" s="24">
        <f>0</f>
        <v>0</v>
      </c>
      <c r="P47" s="24">
        <f>0</f>
        <v>0</v>
      </c>
      <c r="Q47" s="24">
        <f>0</f>
        <v>0</v>
      </c>
    </row>
    <row r="48" spans="1:17" ht="26.25" customHeight="1" x14ac:dyDescent="0.25">
      <c r="A48" s="19" t="s">
        <v>35</v>
      </c>
      <c r="B48" s="24">
        <f>7520600901.17</f>
        <v>7520600901.1700001</v>
      </c>
      <c r="C48" s="24">
        <f>7520600901.17</f>
        <v>7520600901.1700001</v>
      </c>
      <c r="D48" s="24">
        <f>7987283.48</f>
        <v>7987283.4800000004</v>
      </c>
      <c r="E48" s="24">
        <f>14000</f>
        <v>14000</v>
      </c>
      <c r="F48" s="24">
        <f>0</f>
        <v>0</v>
      </c>
      <c r="G48" s="24">
        <f>7973283.48</f>
        <v>7973283.4800000004</v>
      </c>
      <c r="H48" s="24">
        <f>0</f>
        <v>0</v>
      </c>
      <c r="I48" s="24">
        <f>12461967.32</f>
        <v>12461967.32</v>
      </c>
      <c r="J48" s="24">
        <f>7499284558.26</f>
        <v>7499284558.2600002</v>
      </c>
      <c r="K48" s="24">
        <f>46751.9</f>
        <v>46751.9</v>
      </c>
      <c r="L48" s="24">
        <f>820340.21</f>
        <v>820340.21</v>
      </c>
      <c r="M48" s="24">
        <f>0</f>
        <v>0</v>
      </c>
      <c r="N48" s="24">
        <f>0</f>
        <v>0</v>
      </c>
      <c r="O48" s="24">
        <f>0</f>
        <v>0</v>
      </c>
      <c r="P48" s="24">
        <f>0</f>
        <v>0</v>
      </c>
      <c r="Q48" s="24">
        <f>0</f>
        <v>0</v>
      </c>
    </row>
    <row r="49" spans="1:17" ht="26.25" customHeight="1" x14ac:dyDescent="0.25">
      <c r="A49" s="19" t="s">
        <v>36</v>
      </c>
      <c r="B49" s="24">
        <f>6860236322.45</f>
        <v>6860236322.4499998</v>
      </c>
      <c r="C49" s="24">
        <f>6860236322.45</f>
        <v>6860236322.4499998</v>
      </c>
      <c r="D49" s="24">
        <f>209204.61</f>
        <v>209204.61</v>
      </c>
      <c r="E49" s="24">
        <f>77163.34</f>
        <v>77163.34</v>
      </c>
      <c r="F49" s="24">
        <f>28291</f>
        <v>28291</v>
      </c>
      <c r="G49" s="24">
        <f>103750.27</f>
        <v>103750.27</v>
      </c>
      <c r="H49" s="24">
        <f>0</f>
        <v>0</v>
      </c>
      <c r="I49" s="24">
        <f>52416</f>
        <v>52416</v>
      </c>
      <c r="J49" s="24">
        <f>6858646256.99</f>
        <v>6858646256.9899998</v>
      </c>
      <c r="K49" s="24">
        <f>0</f>
        <v>0</v>
      </c>
      <c r="L49" s="24">
        <f>1121530.68</f>
        <v>1121530.68</v>
      </c>
      <c r="M49" s="24">
        <f>49898.91</f>
        <v>49898.91</v>
      </c>
      <c r="N49" s="24">
        <f>157015.26</f>
        <v>157015.26</v>
      </c>
      <c r="O49" s="24">
        <f>0</f>
        <v>0</v>
      </c>
      <c r="P49" s="24">
        <f>0</f>
        <v>0</v>
      </c>
      <c r="Q49" s="24">
        <f>0</f>
        <v>0</v>
      </c>
    </row>
    <row r="50" spans="1:17" ht="26.25" customHeight="1" x14ac:dyDescent="0.25">
      <c r="A50" s="25" t="s">
        <v>45</v>
      </c>
      <c r="B50" s="23">
        <f>12194916975.17</f>
        <v>12194916975.17</v>
      </c>
      <c r="C50" s="23">
        <f>12169592794.95</f>
        <v>12169592794.950001</v>
      </c>
      <c r="D50" s="23">
        <f>374266360.74</f>
        <v>374266360.74000001</v>
      </c>
      <c r="E50" s="23">
        <f>69934663.63</f>
        <v>69934663.629999995</v>
      </c>
      <c r="F50" s="23">
        <f>8939060.98</f>
        <v>8939060.9800000004</v>
      </c>
      <c r="G50" s="23">
        <f>294841666.35</f>
        <v>294841666.35000002</v>
      </c>
      <c r="H50" s="23">
        <f>550969.78</f>
        <v>550969.78</v>
      </c>
      <c r="I50" s="23">
        <f>658.67</f>
        <v>658.67</v>
      </c>
      <c r="J50" s="23">
        <f>480170.34</f>
        <v>480170.34</v>
      </c>
      <c r="K50" s="23">
        <f>2677105.72</f>
        <v>2677105.7200000002</v>
      </c>
      <c r="L50" s="23">
        <f>2698767519.49</f>
        <v>2698767519.4899998</v>
      </c>
      <c r="M50" s="23">
        <f>8967219326.08</f>
        <v>8967219326.0799999</v>
      </c>
      <c r="N50" s="23">
        <f>126181653.91</f>
        <v>126181653.91</v>
      </c>
      <c r="O50" s="23">
        <f>25324180.22</f>
        <v>25324180.219999999</v>
      </c>
      <c r="P50" s="23">
        <f>14130648.12</f>
        <v>14130648.119999999</v>
      </c>
      <c r="Q50" s="23">
        <f>11193532.1</f>
        <v>11193532.1</v>
      </c>
    </row>
    <row r="51" spans="1:17" ht="26.25" customHeight="1" x14ac:dyDescent="0.25">
      <c r="A51" s="19" t="s">
        <v>37</v>
      </c>
      <c r="B51" s="24">
        <f>5070202232.27</f>
        <v>5070202232.2700005</v>
      </c>
      <c r="C51" s="24">
        <f>5068109656.58</f>
        <v>5068109656.5799999</v>
      </c>
      <c r="D51" s="24">
        <f>74376174.36</f>
        <v>74376174.359999999</v>
      </c>
      <c r="E51" s="24">
        <f>1629632.48</f>
        <v>1629632.48</v>
      </c>
      <c r="F51" s="24">
        <f>2665549.97</f>
        <v>2665549.9700000002</v>
      </c>
      <c r="G51" s="24">
        <f>70070546.72</f>
        <v>70070546.719999999</v>
      </c>
      <c r="H51" s="24">
        <f>10445.19</f>
        <v>10445.19</v>
      </c>
      <c r="I51" s="24">
        <f>0</f>
        <v>0</v>
      </c>
      <c r="J51" s="24">
        <f>22043.51</f>
        <v>22043.51</v>
      </c>
      <c r="K51" s="24">
        <f>340604.22</f>
        <v>340604.22</v>
      </c>
      <c r="L51" s="24">
        <f>681131629.24</f>
        <v>681131629.24000001</v>
      </c>
      <c r="M51" s="24">
        <f>4237727389.65</f>
        <v>4237727389.6500001</v>
      </c>
      <c r="N51" s="24">
        <f>74511815.6</f>
        <v>74511815.599999994</v>
      </c>
      <c r="O51" s="24">
        <f>2092575.69</f>
        <v>2092575.69</v>
      </c>
      <c r="P51" s="24">
        <f>547611.47</f>
        <v>547611.47</v>
      </c>
      <c r="Q51" s="24">
        <f>1544964.22</f>
        <v>1544964.22</v>
      </c>
    </row>
    <row r="52" spans="1:17" ht="26.25" customHeight="1" x14ac:dyDescent="0.25">
      <c r="A52" s="19" t="s">
        <v>38</v>
      </c>
      <c r="B52" s="24">
        <f>7124714742.9</f>
        <v>7124714742.8999996</v>
      </c>
      <c r="C52" s="24">
        <f>7101483138.37</f>
        <v>7101483138.3699999</v>
      </c>
      <c r="D52" s="24">
        <f>299890186.38</f>
        <v>299890186.38</v>
      </c>
      <c r="E52" s="24">
        <f>68305031.15</f>
        <v>68305031.150000006</v>
      </c>
      <c r="F52" s="24">
        <f>6273511.01</f>
        <v>6273511.0099999998</v>
      </c>
      <c r="G52" s="24">
        <f>224771119.63</f>
        <v>224771119.63</v>
      </c>
      <c r="H52" s="24">
        <f>540524.59</f>
        <v>540524.59</v>
      </c>
      <c r="I52" s="24">
        <f>658.67</f>
        <v>658.67</v>
      </c>
      <c r="J52" s="24">
        <f>458126.83</f>
        <v>458126.83</v>
      </c>
      <c r="K52" s="24">
        <f>2336501.5</f>
        <v>2336501.5</v>
      </c>
      <c r="L52" s="24">
        <f>2017635890.25</f>
        <v>2017635890.25</v>
      </c>
      <c r="M52" s="24">
        <f>4729491936.43</f>
        <v>4729491936.4300003</v>
      </c>
      <c r="N52" s="24">
        <f>51669838.31</f>
        <v>51669838.310000002</v>
      </c>
      <c r="O52" s="24">
        <f>23231604.53</f>
        <v>23231604.530000001</v>
      </c>
      <c r="P52" s="24">
        <f>13583036.65</f>
        <v>13583036.65</v>
      </c>
      <c r="Q52" s="24">
        <f>9648567.88</f>
        <v>9648567.8800000008</v>
      </c>
    </row>
    <row r="53" spans="1:17" ht="26.25" customHeight="1" x14ac:dyDescent="0.25">
      <c r="A53" s="25" t="s">
        <v>46</v>
      </c>
      <c r="B53" s="23">
        <f>6401891465.47</f>
        <v>6401891465.4700003</v>
      </c>
      <c r="C53" s="23">
        <f>6358506602.74</f>
        <v>6358506602.7399998</v>
      </c>
      <c r="D53" s="23">
        <f>691291561.21</f>
        <v>691291561.21000004</v>
      </c>
      <c r="E53" s="23">
        <f>332798334.54</f>
        <v>332798334.54000002</v>
      </c>
      <c r="F53" s="23">
        <f>34398966.76</f>
        <v>34398966.759999998</v>
      </c>
      <c r="G53" s="23">
        <f>310537824.73</f>
        <v>310537824.73000002</v>
      </c>
      <c r="H53" s="23">
        <f>13556435.18</f>
        <v>13556435.18</v>
      </c>
      <c r="I53" s="23">
        <f>1121279.44</f>
        <v>1121279.44</v>
      </c>
      <c r="J53" s="23">
        <f>12465076.71</f>
        <v>12465076.710000001</v>
      </c>
      <c r="K53" s="23">
        <f>6715233.37</f>
        <v>6715233.3700000001</v>
      </c>
      <c r="L53" s="23">
        <f>3823417909.92</f>
        <v>3823417909.9200001</v>
      </c>
      <c r="M53" s="23">
        <f>1678701038.19</f>
        <v>1678701038.1900001</v>
      </c>
      <c r="N53" s="23">
        <f>144794503.9</f>
        <v>144794503.90000001</v>
      </c>
      <c r="O53" s="23">
        <f>43384862.73</f>
        <v>43384862.729999997</v>
      </c>
      <c r="P53" s="23">
        <f>37964816.52</f>
        <v>37964816.520000003</v>
      </c>
      <c r="Q53" s="23">
        <f>5420046.21</f>
        <v>5420046.21</v>
      </c>
    </row>
    <row r="54" spans="1:17" ht="26.25" customHeight="1" x14ac:dyDescent="0.25">
      <c r="A54" s="19" t="s">
        <v>39</v>
      </c>
      <c r="B54" s="24">
        <f>796418929.49</f>
        <v>796418929.49000001</v>
      </c>
      <c r="C54" s="24">
        <f>796129019.53</f>
        <v>796129019.52999997</v>
      </c>
      <c r="D54" s="24">
        <f>49454836.78</f>
        <v>49454836.780000001</v>
      </c>
      <c r="E54" s="24">
        <f>2664086.13</f>
        <v>2664086.13</v>
      </c>
      <c r="F54" s="24">
        <f>2000640.97</f>
        <v>2000640.97</v>
      </c>
      <c r="G54" s="24">
        <f>43448371.2</f>
        <v>43448371.200000003</v>
      </c>
      <c r="H54" s="24">
        <f>1341738.48</f>
        <v>1341738.48</v>
      </c>
      <c r="I54" s="24">
        <f>2340</f>
        <v>2340</v>
      </c>
      <c r="J54" s="24">
        <f>135331.9</f>
        <v>135331.9</v>
      </c>
      <c r="K54" s="24">
        <f>458059.33</f>
        <v>458059.33</v>
      </c>
      <c r="L54" s="24">
        <f>295888001.11</f>
        <v>295888001.11000001</v>
      </c>
      <c r="M54" s="24">
        <f>435842712.6</f>
        <v>435842712.60000002</v>
      </c>
      <c r="N54" s="24">
        <f>14347737.81</f>
        <v>14347737.810000001</v>
      </c>
      <c r="O54" s="24">
        <f>289909.96</f>
        <v>289909.96000000002</v>
      </c>
      <c r="P54" s="24">
        <f>272923.56</f>
        <v>272923.56</v>
      </c>
      <c r="Q54" s="24">
        <f>16986.4</f>
        <v>16986.400000000001</v>
      </c>
    </row>
    <row r="55" spans="1:17" ht="36.75" customHeight="1" x14ac:dyDescent="0.25">
      <c r="A55" s="19" t="s">
        <v>40</v>
      </c>
      <c r="B55" s="24">
        <f>2779856100.54</f>
        <v>2779856100.54</v>
      </c>
      <c r="C55" s="24">
        <f>2773545692.54</f>
        <v>2773545692.54</v>
      </c>
      <c r="D55" s="24">
        <f>193450537.96</f>
        <v>193450537.96000001</v>
      </c>
      <c r="E55" s="24">
        <f>59100223.56</f>
        <v>59100223.560000002</v>
      </c>
      <c r="F55" s="24">
        <f>24858083.41</f>
        <v>24858083.41</v>
      </c>
      <c r="G55" s="24">
        <f>99892941.61</f>
        <v>99892941.609999999</v>
      </c>
      <c r="H55" s="24">
        <f>9599289.38</f>
        <v>9599289.3800000008</v>
      </c>
      <c r="I55" s="24">
        <f>1096017.08</f>
        <v>1096017.08</v>
      </c>
      <c r="J55" s="24">
        <f>4975333.6</f>
        <v>4975333.5999999996</v>
      </c>
      <c r="K55" s="24">
        <f>4250219.9</f>
        <v>4250219.9000000004</v>
      </c>
      <c r="L55" s="24">
        <f>2174837255.54</f>
        <v>2174837255.54</v>
      </c>
      <c r="M55" s="24">
        <f>376387964.76</f>
        <v>376387964.75999999</v>
      </c>
      <c r="N55" s="24">
        <f>18548363.7</f>
        <v>18548363.699999999</v>
      </c>
      <c r="O55" s="24">
        <f>6310408</f>
        <v>6310408</v>
      </c>
      <c r="P55" s="24">
        <f>5514083.53</f>
        <v>5514083.5300000003</v>
      </c>
      <c r="Q55" s="24">
        <f>796324.47</f>
        <v>796324.47</v>
      </c>
    </row>
    <row r="56" spans="1:17" ht="26.25" customHeight="1" x14ac:dyDescent="0.25">
      <c r="A56" s="19" t="s">
        <v>41</v>
      </c>
      <c r="B56" s="24">
        <f>2825616435.44</f>
        <v>2825616435.4400001</v>
      </c>
      <c r="C56" s="24">
        <f>2788831890.67</f>
        <v>2788831890.6700001</v>
      </c>
      <c r="D56" s="24">
        <f>448386186.47</f>
        <v>448386186.47000003</v>
      </c>
      <c r="E56" s="24">
        <f>271034024.85</f>
        <v>271034024.85000002</v>
      </c>
      <c r="F56" s="24">
        <f>7540242.38</f>
        <v>7540242.3799999999</v>
      </c>
      <c r="G56" s="24">
        <f>167196511.92</f>
        <v>167196511.91999999</v>
      </c>
      <c r="H56" s="24">
        <f>2615407.32</f>
        <v>2615407.3199999998</v>
      </c>
      <c r="I56" s="24">
        <f>22922.36</f>
        <v>22922.36</v>
      </c>
      <c r="J56" s="24">
        <f>7354411.21</f>
        <v>7354411.21</v>
      </c>
      <c r="K56" s="24">
        <f>2006954.14</f>
        <v>2006954.14</v>
      </c>
      <c r="L56" s="24">
        <f>1352692653.27</f>
        <v>1352692653.27</v>
      </c>
      <c r="M56" s="24">
        <f>866470360.83</f>
        <v>866470360.83000004</v>
      </c>
      <c r="N56" s="24">
        <f>111898402.39</f>
        <v>111898402.39</v>
      </c>
      <c r="O56" s="24">
        <f>36784544.77</f>
        <v>36784544.770000003</v>
      </c>
      <c r="P56" s="24">
        <f>32177809.43</f>
        <v>32177809.43</v>
      </c>
      <c r="Q56" s="24">
        <f>4606735.34</f>
        <v>4606735.34</v>
      </c>
    </row>
    <row r="66" spans="1:13" ht="75" customHeight="1" x14ac:dyDescent="0.25">
      <c r="A66" s="36" t="str">
        <f>CONCATENATE("Informacja z wykonania budżetów miast na prawach powiatu za  ",$C$93," ",$B$94," roku     ",$B$96,"")</f>
        <v xml:space="preserve">Informacja z wykonania budżetów miast na prawach powiatu za  III Kwartały 2022 roku     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</row>
    <row r="67" spans="1:13" ht="13.5" customHeight="1" x14ac:dyDescent="0.25">
      <c r="B67" s="37" t="s">
        <v>3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</row>
    <row r="69" spans="1:13" ht="13.5" customHeight="1" x14ac:dyDescent="0.25">
      <c r="B69" s="65" t="s">
        <v>0</v>
      </c>
      <c r="C69" s="66"/>
      <c r="D69" s="66"/>
      <c r="E69" s="67"/>
      <c r="F69" s="40" t="s">
        <v>73</v>
      </c>
      <c r="G69" s="61" t="s">
        <v>72</v>
      </c>
      <c r="H69" s="74"/>
      <c r="I69" s="74"/>
      <c r="J69" s="74"/>
      <c r="K69" s="74"/>
      <c r="L69" s="62"/>
    </row>
    <row r="70" spans="1:13" ht="13.5" customHeight="1" x14ac:dyDescent="0.25">
      <c r="B70" s="68"/>
      <c r="C70" s="69"/>
      <c r="D70" s="69"/>
      <c r="E70" s="70"/>
      <c r="F70" s="41"/>
      <c r="G70" s="43" t="s">
        <v>74</v>
      </c>
      <c r="H70" s="32" t="s">
        <v>70</v>
      </c>
      <c r="I70" s="32" t="s">
        <v>71</v>
      </c>
      <c r="J70" s="32" t="s">
        <v>75</v>
      </c>
      <c r="K70" s="32" t="s">
        <v>76</v>
      </c>
      <c r="L70" s="80" t="s">
        <v>77</v>
      </c>
    </row>
    <row r="71" spans="1:13" ht="13.5" customHeight="1" x14ac:dyDescent="0.25">
      <c r="B71" s="68"/>
      <c r="C71" s="69"/>
      <c r="D71" s="69"/>
      <c r="E71" s="70"/>
      <c r="F71" s="41"/>
      <c r="G71" s="43"/>
      <c r="H71" s="32"/>
      <c r="I71" s="32"/>
      <c r="J71" s="32"/>
      <c r="K71" s="32"/>
      <c r="L71" s="80"/>
    </row>
    <row r="72" spans="1:13" ht="11.25" customHeight="1" x14ac:dyDescent="0.25">
      <c r="B72" s="68"/>
      <c r="C72" s="69"/>
      <c r="D72" s="69"/>
      <c r="E72" s="70"/>
      <c r="F72" s="41"/>
      <c r="G72" s="43"/>
      <c r="H72" s="32"/>
      <c r="I72" s="32"/>
      <c r="J72" s="32"/>
      <c r="K72" s="32"/>
      <c r="L72" s="80"/>
    </row>
    <row r="73" spans="1:13" ht="11.25" customHeight="1" x14ac:dyDescent="0.25">
      <c r="B73" s="71"/>
      <c r="C73" s="72"/>
      <c r="D73" s="72"/>
      <c r="E73" s="73"/>
      <c r="F73" s="42"/>
      <c r="G73" s="43"/>
      <c r="H73" s="32"/>
      <c r="I73" s="32"/>
      <c r="J73" s="32"/>
      <c r="K73" s="32"/>
      <c r="L73" s="80"/>
    </row>
    <row r="74" spans="1:13" ht="11.25" customHeight="1" x14ac:dyDescent="0.25">
      <c r="B74" s="32">
        <v>1</v>
      </c>
      <c r="C74" s="32"/>
      <c r="D74" s="32"/>
      <c r="E74" s="32"/>
      <c r="F74" s="3">
        <v>2</v>
      </c>
      <c r="G74" s="3">
        <v>3</v>
      </c>
      <c r="H74" s="3">
        <v>4</v>
      </c>
      <c r="I74" s="3">
        <v>5</v>
      </c>
      <c r="J74" s="3">
        <v>6</v>
      </c>
      <c r="K74" s="3">
        <v>7</v>
      </c>
      <c r="L74" s="13">
        <v>8</v>
      </c>
    </row>
    <row r="75" spans="1:13" ht="11.25" customHeight="1" x14ac:dyDescent="0.25">
      <c r="B75" s="76"/>
      <c r="C75" s="76"/>
      <c r="D75" s="76"/>
      <c r="E75" s="76"/>
      <c r="F75" s="32" t="s">
        <v>79</v>
      </c>
      <c r="G75" s="32"/>
      <c r="H75" s="32"/>
      <c r="I75" s="32"/>
      <c r="J75" s="32"/>
      <c r="K75" s="32"/>
      <c r="L75" s="32"/>
    </row>
    <row r="76" spans="1:13" ht="47.25" customHeight="1" x14ac:dyDescent="0.25">
      <c r="B76" s="53" t="s">
        <v>57</v>
      </c>
      <c r="C76" s="54"/>
      <c r="D76" s="54"/>
      <c r="E76" s="55"/>
      <c r="F76" s="22">
        <f>1792455868.74</f>
        <v>1792455868.74</v>
      </c>
      <c r="G76" s="22">
        <f>254829279.49</f>
        <v>254829279.49000001</v>
      </c>
      <c r="H76" s="22">
        <f>19147000</f>
        <v>19147000</v>
      </c>
      <c r="I76" s="22">
        <f>131430360.61</f>
        <v>131430360.61</v>
      </c>
      <c r="J76" s="22">
        <f>104251918.88</f>
        <v>104251918.88</v>
      </c>
      <c r="K76" s="22">
        <f>0</f>
        <v>0</v>
      </c>
      <c r="L76" s="22">
        <f>1537626589.25</f>
        <v>1537626589.25</v>
      </c>
    </row>
    <row r="77" spans="1:13" ht="47.25" customHeight="1" x14ac:dyDescent="0.25">
      <c r="B77" s="53" t="s">
        <v>58</v>
      </c>
      <c r="C77" s="54"/>
      <c r="D77" s="54"/>
      <c r="E77" s="55"/>
      <c r="F77" s="22">
        <f>0</f>
        <v>0</v>
      </c>
      <c r="G77" s="22">
        <f>0</f>
        <v>0</v>
      </c>
      <c r="H77" s="22">
        <f>0</f>
        <v>0</v>
      </c>
      <c r="I77" s="22">
        <f>0</f>
        <v>0</v>
      </c>
      <c r="J77" s="22">
        <f>0</f>
        <v>0</v>
      </c>
      <c r="K77" s="22">
        <f>0</f>
        <v>0</v>
      </c>
      <c r="L77" s="22">
        <f>0</f>
        <v>0</v>
      </c>
    </row>
    <row r="78" spans="1:13" ht="47.25" customHeight="1" x14ac:dyDescent="0.25">
      <c r="B78" s="53" t="s">
        <v>59</v>
      </c>
      <c r="C78" s="54"/>
      <c r="D78" s="54"/>
      <c r="E78" s="55"/>
      <c r="F78" s="22">
        <f>94316295.92</f>
        <v>94316295.920000002</v>
      </c>
      <c r="G78" s="22">
        <f>1130000</f>
        <v>1130000</v>
      </c>
      <c r="H78" s="22">
        <f>0</f>
        <v>0</v>
      </c>
      <c r="I78" s="22">
        <f>0</f>
        <v>0</v>
      </c>
      <c r="J78" s="22">
        <f>1130000</f>
        <v>1130000</v>
      </c>
      <c r="K78" s="22">
        <f>0</f>
        <v>0</v>
      </c>
      <c r="L78" s="22">
        <f>93186295.92</f>
        <v>93186295.920000002</v>
      </c>
    </row>
    <row r="79" spans="1:13" ht="47.25" customHeight="1" x14ac:dyDescent="0.25">
      <c r="B79" s="53" t="s">
        <v>60</v>
      </c>
      <c r="C79" s="54"/>
      <c r="D79" s="54"/>
      <c r="E79" s="55"/>
      <c r="F79" s="22">
        <f>17440039.91</f>
        <v>17440039.91</v>
      </c>
      <c r="G79" s="22">
        <f>0</f>
        <v>0</v>
      </c>
      <c r="H79" s="22">
        <f>0</f>
        <v>0</v>
      </c>
      <c r="I79" s="22">
        <f>0</f>
        <v>0</v>
      </c>
      <c r="J79" s="22">
        <f>0</f>
        <v>0</v>
      </c>
      <c r="K79" s="22">
        <f>0</f>
        <v>0</v>
      </c>
      <c r="L79" s="22">
        <f>17440039.91</f>
        <v>17440039.91</v>
      </c>
    </row>
    <row r="80" spans="1:13" ht="47.25" customHeight="1" x14ac:dyDescent="0.25">
      <c r="B80" s="53" t="s">
        <v>61</v>
      </c>
      <c r="C80" s="54"/>
      <c r="D80" s="54"/>
      <c r="E80" s="55"/>
      <c r="F80" s="22">
        <f>3606610.79</f>
        <v>3606610.79</v>
      </c>
      <c r="G80" s="22">
        <f>0</f>
        <v>0</v>
      </c>
      <c r="H80" s="22">
        <f>0</f>
        <v>0</v>
      </c>
      <c r="I80" s="22">
        <f>0</f>
        <v>0</v>
      </c>
      <c r="J80" s="22">
        <f>0</f>
        <v>0</v>
      </c>
      <c r="K80" s="22">
        <f>0</f>
        <v>0</v>
      </c>
      <c r="L80" s="22">
        <f>3606610.79</f>
        <v>3606610.79</v>
      </c>
    </row>
    <row r="81" spans="1:13" ht="47.25" customHeight="1" x14ac:dyDescent="0.25">
      <c r="B81" s="53" t="s">
        <v>62</v>
      </c>
      <c r="C81" s="54"/>
      <c r="D81" s="54"/>
      <c r="E81" s="55"/>
      <c r="F81" s="22">
        <f>16851502.12</f>
        <v>16851502.120000001</v>
      </c>
      <c r="G81" s="22">
        <f>1620520.5</f>
        <v>1620520.5</v>
      </c>
      <c r="H81" s="22">
        <f>0</f>
        <v>0</v>
      </c>
      <c r="I81" s="22">
        <f>0</f>
        <v>0</v>
      </c>
      <c r="J81" s="22">
        <f>1620520.5</f>
        <v>1620520.5</v>
      </c>
      <c r="K81" s="22">
        <f>0</f>
        <v>0</v>
      </c>
      <c r="L81" s="22">
        <f>15230981.62</f>
        <v>15230981.619999999</v>
      </c>
    </row>
    <row r="82" spans="1:13" ht="47.25" customHeight="1" x14ac:dyDescent="0.25">
      <c r="B82" s="53" t="s">
        <v>63</v>
      </c>
      <c r="C82" s="54"/>
      <c r="D82" s="54"/>
      <c r="E82" s="55"/>
      <c r="F82" s="22">
        <f>0</f>
        <v>0</v>
      </c>
      <c r="G82" s="22">
        <f>0</f>
        <v>0</v>
      </c>
      <c r="H82" s="22">
        <f>0</f>
        <v>0</v>
      </c>
      <c r="I82" s="22">
        <f>0</f>
        <v>0</v>
      </c>
      <c r="J82" s="22">
        <f>0</f>
        <v>0</v>
      </c>
      <c r="K82" s="22">
        <f>0</f>
        <v>0</v>
      </c>
      <c r="L82" s="22">
        <f>0</f>
        <v>0</v>
      </c>
    </row>
    <row r="85" spans="1:13" ht="75" customHeight="1" x14ac:dyDescent="0.25">
      <c r="A85" s="36" t="str">
        <f>CONCATENATE("Informacja z wykonania budżetów miast na prawach powiatu za  ",$C$93," ",$B$94," roku     ",$B$96,"")</f>
        <v xml:space="preserve">Informacja z wykonania budżetów miast na prawach powiatu za  III Kwartały 2022 roku     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</row>
    <row r="86" spans="1:13" ht="13.5" customHeight="1" x14ac:dyDescent="0.25">
      <c r="B86" s="4"/>
    </row>
    <row r="87" spans="1:13" ht="13.5" customHeight="1" x14ac:dyDescent="0.25">
      <c r="B87" s="5"/>
      <c r="C87" s="61"/>
      <c r="D87" s="74"/>
      <c r="E87" s="74"/>
      <c r="F87" s="62"/>
      <c r="G87" s="61" t="s">
        <v>4</v>
      </c>
      <c r="H87" s="62"/>
      <c r="I87" s="61" t="s">
        <v>5</v>
      </c>
      <c r="J87" s="62"/>
      <c r="K87" s="5"/>
    </row>
    <row r="88" spans="1:13" ht="13.5" customHeight="1" x14ac:dyDescent="0.25">
      <c r="B88" s="6"/>
      <c r="C88" s="53" t="s">
        <v>6</v>
      </c>
      <c r="D88" s="54"/>
      <c r="E88" s="54"/>
      <c r="F88" s="55"/>
      <c r="G88" s="59">
        <f>43</f>
        <v>43</v>
      </c>
      <c r="H88" s="60"/>
      <c r="I88" s="46">
        <f>2846607116.21</f>
        <v>2846607116.21</v>
      </c>
      <c r="J88" s="47"/>
      <c r="K88" s="7"/>
    </row>
    <row r="89" spans="1:13" ht="13.5" customHeight="1" x14ac:dyDescent="0.25">
      <c r="B89" s="6"/>
      <c r="C89" s="56" t="s">
        <v>7</v>
      </c>
      <c r="D89" s="57"/>
      <c r="E89" s="57"/>
      <c r="F89" s="58"/>
      <c r="G89" s="63">
        <f>23</f>
        <v>23</v>
      </c>
      <c r="H89" s="64"/>
      <c r="I89" s="48">
        <f>-727226236.62</f>
        <v>-727226236.62</v>
      </c>
      <c r="J89" s="49"/>
      <c r="K89" s="7"/>
    </row>
    <row r="90" spans="1:13" ht="13.5" customHeight="1" x14ac:dyDescent="0.25">
      <c r="B90" s="6"/>
      <c r="C90" s="53" t="s">
        <v>8</v>
      </c>
      <c r="D90" s="54"/>
      <c r="E90" s="54"/>
      <c r="F90" s="55"/>
      <c r="G90" s="59">
        <f>0</f>
        <v>0</v>
      </c>
      <c r="H90" s="60"/>
      <c r="I90" s="46">
        <f>0</f>
        <v>0</v>
      </c>
      <c r="J90" s="47"/>
      <c r="K90" s="7"/>
    </row>
    <row r="93" spans="1:13" ht="13.5" customHeight="1" x14ac:dyDescent="0.25">
      <c r="A93" s="8" t="s">
        <v>9</v>
      </c>
      <c r="B93" s="8">
        <f>3</f>
        <v>3</v>
      </c>
      <c r="C93" s="8" t="str">
        <f>IF(B93=1,"I Kwartał",IF(B93=2,"II Kwartały",IF(B93=3,"III Kwartały",IF(B93=4,"IV Kwartały","-"))))</f>
        <v>III Kwartały</v>
      </c>
    </row>
    <row r="94" spans="1:13" ht="13.5" customHeight="1" x14ac:dyDescent="0.25">
      <c r="A94" s="8" t="s">
        <v>10</v>
      </c>
      <c r="B94" s="8">
        <f>2022</f>
        <v>2022</v>
      </c>
      <c r="C94" s="9"/>
    </row>
    <row r="95" spans="1:13" ht="13.5" customHeight="1" x14ac:dyDescent="0.25">
      <c r="A95" s="8" t="s">
        <v>11</v>
      </c>
      <c r="B95" s="10" t="str">
        <f>"Nov 18 2022 12:00AM"</f>
        <v>Nov 18 2022 12:00AM</v>
      </c>
      <c r="C95" s="9"/>
    </row>
    <row r="96" spans="1:13" ht="13.5" customHeight="1" x14ac:dyDescent="0.25">
      <c r="A96" s="15" t="s">
        <v>78</v>
      </c>
      <c r="B96" s="10" t="str">
        <f>""</f>
        <v/>
      </c>
    </row>
  </sheetData>
  <mergeCells count="79">
    <mergeCell ref="O6:Q6"/>
    <mergeCell ref="O7:O10"/>
    <mergeCell ref="A66:M66"/>
    <mergeCell ref="L35:L37"/>
    <mergeCell ref="P35:P37"/>
    <mergeCell ref="B75:E75"/>
    <mergeCell ref="F75:L75"/>
    <mergeCell ref="B12:Q12"/>
    <mergeCell ref="B39:Q39"/>
    <mergeCell ref="L70:L73"/>
    <mergeCell ref="G90:H90"/>
    <mergeCell ref="I88:J88"/>
    <mergeCell ref="B67:M67"/>
    <mergeCell ref="I87:J87"/>
    <mergeCell ref="B74:E74"/>
    <mergeCell ref="B69:E73"/>
    <mergeCell ref="B82:E82"/>
    <mergeCell ref="A85:M85"/>
    <mergeCell ref="B78:E78"/>
    <mergeCell ref="B79:E79"/>
    <mergeCell ref="C87:F87"/>
    <mergeCell ref="B81:E81"/>
    <mergeCell ref="G69:L69"/>
    <mergeCell ref="H70:H73"/>
    <mergeCell ref="I70:I73"/>
    <mergeCell ref="J70:J73"/>
    <mergeCell ref="I90:J90"/>
    <mergeCell ref="I89:J89"/>
    <mergeCell ref="A6:A10"/>
    <mergeCell ref="C6:N6"/>
    <mergeCell ref="D7:D10"/>
    <mergeCell ref="E7:E10"/>
    <mergeCell ref="B80:E80"/>
    <mergeCell ref="B77:E77"/>
    <mergeCell ref="M35:M37"/>
    <mergeCell ref="B76:E76"/>
    <mergeCell ref="C88:F88"/>
    <mergeCell ref="C89:F89"/>
    <mergeCell ref="C90:F90"/>
    <mergeCell ref="G88:H88"/>
    <mergeCell ref="G87:H87"/>
    <mergeCell ref="G89:H89"/>
    <mergeCell ref="A1:M1"/>
    <mergeCell ref="C5:M5"/>
    <mergeCell ref="A3:M3"/>
    <mergeCell ref="K7:K10"/>
    <mergeCell ref="C7:C10"/>
    <mergeCell ref="B6:B10"/>
    <mergeCell ref="G7:G10"/>
    <mergeCell ref="F7:F10"/>
    <mergeCell ref="I7:I10"/>
    <mergeCell ref="J7:J10"/>
    <mergeCell ref="H7:H10"/>
    <mergeCell ref="Q7:Q10"/>
    <mergeCell ref="C34:N34"/>
    <mergeCell ref="L7:L10"/>
    <mergeCell ref="M7:M10"/>
    <mergeCell ref="N7:N10"/>
    <mergeCell ref="P7:P10"/>
    <mergeCell ref="A30:M30"/>
    <mergeCell ref="O34:Q34"/>
    <mergeCell ref="A32:M32"/>
    <mergeCell ref="B34:B37"/>
    <mergeCell ref="Q35:Q37"/>
    <mergeCell ref="N35:N37"/>
    <mergeCell ref="O35:O37"/>
    <mergeCell ref="D35:D37"/>
    <mergeCell ref="A34:A37"/>
    <mergeCell ref="C35:C37"/>
    <mergeCell ref="E35:E37"/>
    <mergeCell ref="K70:K73"/>
    <mergeCell ref="F35:F37"/>
    <mergeCell ref="G35:G37"/>
    <mergeCell ref="H35:H37"/>
    <mergeCell ref="K35:K37"/>
    <mergeCell ref="I35:I37"/>
    <mergeCell ref="J35:J37"/>
    <mergeCell ref="F69:F73"/>
    <mergeCell ref="G70:G73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9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2016-08-26T11:41:03Z</cp:lastPrinted>
  <dcterms:created xsi:type="dcterms:W3CDTF">2001-05-17T08:58:03Z</dcterms:created>
  <dcterms:modified xsi:type="dcterms:W3CDTF">2022-11-29T14:30:02Z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2022-11-29T15:29:59.1463741+01:00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GRN-9ac3a006-717c-4e44-a535-16042525fcf9</vt:lpwstr>
  </property>
  <property fmtid="{D5CDD505-2E9C-101B-9397-08002B2CF9AE}" pid="7" name="MFHash">
    <vt:lpwstr>vLQhlymP2RIxfBNF3E8cQj6+98WFameeGU5P2D0JvBQ=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