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700" windowHeight="8190" tabRatio="550" activeTab="0"/>
  </bookViews>
  <sheets>
    <sheet name="Arkusz1" sheetId="1" r:id="rId1"/>
    <sheet name="Arkusz2" sheetId="2" r:id="rId2"/>
    <sheet name="Arkusz3" sheetId="3" r:id="rId3"/>
  </sheets>
  <externalReferences>
    <externalReference r:id="rId6"/>
  </externalReferences>
  <definedNames>
    <definedName name="_xlnm.Print_Area" localSheetId="0">'Arkusz1'!$A$1:$J$98</definedName>
    <definedName name="_xlnm.Print_Titles" localSheetId="0">'Arkusz1'!$A:$J,'Arkusz1'!$4:$5</definedName>
  </definedNames>
  <calcPr fullCalcOnLoad="1"/>
</workbook>
</file>

<file path=xl/sharedStrings.xml><?xml version="1.0" encoding="utf-8"?>
<sst xmlns="http://schemas.openxmlformats.org/spreadsheetml/2006/main" count="298" uniqueCount="171">
  <si>
    <t>stan na</t>
  </si>
  <si>
    <t>Lp.</t>
  </si>
  <si>
    <t>Data podpisania zgody przez  MRiRW</t>
  </si>
  <si>
    <t>Numer zgody MRiRW</t>
  </si>
  <si>
    <t>Województwo</t>
  </si>
  <si>
    <t>Rodzaj klęski</t>
  </si>
  <si>
    <t>ŁĄCZNE STRATY</t>
  </si>
  <si>
    <t>liczba poszkodowanych gospodarstw</t>
  </si>
  <si>
    <t>liczba ha</t>
  </si>
  <si>
    <t>SUMA</t>
  </si>
  <si>
    <t>warmińsko-mazurskie</t>
  </si>
  <si>
    <t>podlaskie</t>
  </si>
  <si>
    <t>ZGODY MRiRW WYRAŻONE W 2010 ROKU NA URUCHOMIENIE LINII KREDYTÓW "KLĘSKOWYCH"</t>
  </si>
  <si>
    <t>13-07-2010r.</t>
  </si>
  <si>
    <t>Fwe-4400KL/34/KK/2010/3053</t>
  </si>
  <si>
    <t>huragan, powódź</t>
  </si>
  <si>
    <t>Fwe-4400KL/33/KK/2010/3051</t>
  </si>
  <si>
    <t>ujemne skutki przezimowania</t>
  </si>
  <si>
    <t>Fwe-4400KL/46/KK/2010/3508</t>
  </si>
  <si>
    <t>mazowieckie</t>
  </si>
  <si>
    <t xml:space="preserve">powódź i grad </t>
  </si>
  <si>
    <t>12-08-2010r.</t>
  </si>
  <si>
    <r>
      <t xml:space="preserve">STRATY w uprawach  </t>
    </r>
    <r>
      <rPr>
        <b/>
        <sz val="12"/>
        <rFont val="Arial"/>
        <family val="2"/>
      </rPr>
      <t>/w zł/</t>
    </r>
  </si>
  <si>
    <r>
      <t xml:space="preserve">STRATY  w środkach trwałych </t>
    </r>
    <r>
      <rPr>
        <b/>
        <sz val="12"/>
        <rFont val="Arial"/>
        <family val="2"/>
      </rPr>
      <t>/w zł/</t>
    </r>
  </si>
  <si>
    <t>Fwe-4400KL/44/KK/2010/3506</t>
  </si>
  <si>
    <t>wielkopolskie</t>
  </si>
  <si>
    <t>Fwe-4400KL/42/KK/2010/3533</t>
  </si>
  <si>
    <t>kujawsko-pomorskie</t>
  </si>
  <si>
    <t>Fwe-4400KL/45/2010/3618</t>
  </si>
  <si>
    <t>powódź i deszcz nawalny</t>
  </si>
  <si>
    <t>Fwe-4400KL/49/KK/2010/3620</t>
  </si>
  <si>
    <t>Fwe-4400KL/51/KK/2010/3621</t>
  </si>
  <si>
    <t>deszcz nawalny</t>
  </si>
  <si>
    <t xml:space="preserve">powódź </t>
  </si>
  <si>
    <t>Fwe-4400KL/52/KK/2010/3622</t>
  </si>
  <si>
    <t>Fwe-4400KL/50/KK/2010/3619</t>
  </si>
  <si>
    <t>24-08-2010r.</t>
  </si>
  <si>
    <t>Fwe-4400KL/53/KK/2010/3706</t>
  </si>
  <si>
    <t>powódź i ujemne skutki przezimowania</t>
  </si>
  <si>
    <t>Fwe-4400KL/54/KK/2010/3705</t>
  </si>
  <si>
    <t>lubelskie</t>
  </si>
  <si>
    <t>Fwe-4400KL/56/KK/2010/3771</t>
  </si>
  <si>
    <t>Fwe-4400KL/67/KK/2010/3879</t>
  </si>
  <si>
    <t>lubuskie</t>
  </si>
  <si>
    <t>powódź</t>
  </si>
  <si>
    <t>Fwe-4400KL/58/KK/2010/3876</t>
  </si>
  <si>
    <t>powódź i deszcz nawalny 2010r.</t>
  </si>
  <si>
    <t>Fwe-4400KL/65/KK/2010/3875</t>
  </si>
  <si>
    <t>powódź 2010r.</t>
  </si>
  <si>
    <t>31-08-2010r.</t>
  </si>
  <si>
    <t>Fwe-4400KL/64/KK/2010/3878</t>
  </si>
  <si>
    <t>Fwe-4400KL/51/KK/2010/3873</t>
  </si>
  <si>
    <t>deszcz nawalny, grad i powódź 2010r.</t>
  </si>
  <si>
    <t>Fwe-4400KL/70/KK/2010/3976</t>
  </si>
  <si>
    <t xml:space="preserve"> powódź, deszcz nawalny 2010r.</t>
  </si>
  <si>
    <t xml:space="preserve">07-09-2010r. </t>
  </si>
  <si>
    <t>Fwe-4400KL/72/KK/2010/3972</t>
  </si>
  <si>
    <t>Fwe-4400KL/60/KK/2010/3973</t>
  </si>
  <si>
    <t>świętokrzyskie</t>
  </si>
  <si>
    <t>Fwe-4400KL/55/KK/2010/4090</t>
  </si>
  <si>
    <t>śląskie</t>
  </si>
  <si>
    <t>Fwe-4400KL/68/KK/2010/4172</t>
  </si>
  <si>
    <t>dolnośląskie</t>
  </si>
  <si>
    <t>Fwe-4400KL/77/KK/2010/4173</t>
  </si>
  <si>
    <t>Fwe-4400KL/73/KK/2010/4171</t>
  </si>
  <si>
    <t>Fwe-4400KL/79/KK/2010/4128</t>
  </si>
  <si>
    <t>Fwe-4400KL/59/KK/2010/4170</t>
  </si>
  <si>
    <t>łódzkie</t>
  </si>
  <si>
    <t>powódź, deszcz nawalny, grad</t>
  </si>
  <si>
    <t>Fwe-4400KL/69/KK/2010/4145</t>
  </si>
  <si>
    <t>podkarpackie</t>
  </si>
  <si>
    <t>deszcz nawalny, powódź, huragan, grad, obsunięcie się ziemi</t>
  </si>
  <si>
    <t>Fwe-4400KL/57/KK/2010/4130</t>
  </si>
  <si>
    <t>pomorskie</t>
  </si>
  <si>
    <t>powódź, deszcz nawalny, huragan, grad</t>
  </si>
  <si>
    <t>Fwe-4400KL/82/KK/2010/4174</t>
  </si>
  <si>
    <t>Fwe-4400KL/81/KK/2010/4337</t>
  </si>
  <si>
    <t>Fwe-4400KL/89/KK/2010/4335</t>
  </si>
  <si>
    <t>powódź, deszcz nawalny, huragan</t>
  </si>
  <si>
    <t>Fwe-4400KL/88/KK/2010/4277</t>
  </si>
  <si>
    <t>Fwe-4400KL/84/KK/2010/4338</t>
  </si>
  <si>
    <t>zachodniopomorskie</t>
  </si>
  <si>
    <t>powódź, grad, deszcz nawalny, huragan</t>
  </si>
  <si>
    <t>Fwe-4400KL/80/KK/2010/4279</t>
  </si>
  <si>
    <t>Fwe-4400KL/63/KK/2010/4278</t>
  </si>
  <si>
    <t>opolskie</t>
  </si>
  <si>
    <t>powódź, deszcz nawalny</t>
  </si>
  <si>
    <t>Fwe-4400KL/83/KK/2010/4397</t>
  </si>
  <si>
    <t>Fwe-4400KL/94/KK/2010/4526</t>
  </si>
  <si>
    <t>piorun</t>
  </si>
  <si>
    <t>Fwe-4400KL/95/KK/2010/4527</t>
  </si>
  <si>
    <t>Fwe-4400KL/99/KK/2010/4521</t>
  </si>
  <si>
    <t>susza</t>
  </si>
  <si>
    <t>Fwe-4400KL/93/KK/2010/4524</t>
  </si>
  <si>
    <t xml:space="preserve">huragan </t>
  </si>
  <si>
    <t>Fwe-4400KL/90/KK/2010/4396</t>
  </si>
  <si>
    <t>Fwe-4400KL/101/KK/2010/4528</t>
  </si>
  <si>
    <t>Fwe-4400KL/100/KK/2010/4523</t>
  </si>
  <si>
    <t>Fwe-4400KL/76a/KK/2010/4525</t>
  </si>
  <si>
    <t>Fwe-4400KL/61/KK/2010/3975</t>
  </si>
  <si>
    <t>deszcz nawalny, grad, huragan</t>
  </si>
  <si>
    <t>Fwe-4400KL/91/KK/2010/4631</t>
  </si>
  <si>
    <t>powódź, grad, deszcz nawalny</t>
  </si>
  <si>
    <t>Fwe-4400KL/92/KK/2010/4630</t>
  </si>
  <si>
    <t>powódź, deszcz nawalny i grad</t>
  </si>
  <si>
    <t>Fwe-4400KL/97/KK/2010/4633</t>
  </si>
  <si>
    <t>deszcz nawalny, powódź, grad</t>
  </si>
  <si>
    <t>Fwe-4400KL/102/KK/2010/4632</t>
  </si>
  <si>
    <t>Fwe-4400KL/96/KK/2010/4660</t>
  </si>
  <si>
    <t>powódź, deszcze nawalne</t>
  </si>
  <si>
    <t>Fwe-4400KL/104/KK/2010/4694</t>
  </si>
  <si>
    <t>deszcz nawalny, powódź, huragan, grad</t>
  </si>
  <si>
    <t>Fwe-4400KL/105/KK/2010/4713</t>
  </si>
  <si>
    <t>powódź, grad, huragan 2010r.</t>
  </si>
  <si>
    <t>Fwe-4400KL/98/KK/2010/4751</t>
  </si>
  <si>
    <t>Fwe-4400KL/103/KK/2010/4757</t>
  </si>
  <si>
    <t>Fwe-4400KL/108/KK/2010/4742</t>
  </si>
  <si>
    <t>Fwe-4400KL/111/KK/2010/4834</t>
  </si>
  <si>
    <t>grad, powódź 2010</t>
  </si>
  <si>
    <t>Fwe-4400KL/102a/KK/2010/4836</t>
  </si>
  <si>
    <t>grad 2010</t>
  </si>
  <si>
    <t>Fwe-4400KL/110/KK/2010/4837</t>
  </si>
  <si>
    <t>deszcz nawalny, grad, powódź 2010</t>
  </si>
  <si>
    <t>Fwe-4400KL/116/KK/2010/5006</t>
  </si>
  <si>
    <t>Fwe-4400KL/109/KK/2010/5057</t>
  </si>
  <si>
    <t>huragan, gradobicie</t>
  </si>
  <si>
    <t>Fwe-4400KL/119/KK/2010/5058</t>
  </si>
  <si>
    <t>deszcz nawalny, gradobicie</t>
  </si>
  <si>
    <t>Fwe-4400KL/118/KK/2010/5055</t>
  </si>
  <si>
    <t>deszcz nawalny, grad</t>
  </si>
  <si>
    <t>Fwe-4400KL/130/KK/2010/5304</t>
  </si>
  <si>
    <t>deszcz nawalny, powódź 2010</t>
  </si>
  <si>
    <t>Fwe-4400KL/124/KK/2010/5211</t>
  </si>
  <si>
    <t>Fwe-4400KL/127/KK/2010/5213</t>
  </si>
  <si>
    <t>Fwe-4400KL/125/KK/2010/5512</t>
  </si>
  <si>
    <t>powódź, huragan 2010r.</t>
  </si>
  <si>
    <t>Fwe-4400KL/106/KK/2010/5237</t>
  </si>
  <si>
    <t xml:space="preserve">susza </t>
  </si>
  <si>
    <t>Fwe-4400KL/129/KK/2010/5238</t>
  </si>
  <si>
    <t>Fwe-4400KL/134/KK/2010/5305</t>
  </si>
  <si>
    <t>Fwe-4400KL/133/KK/2010/5306</t>
  </si>
  <si>
    <t>deszcz nawalny 2010r.</t>
  </si>
  <si>
    <t>Fwe-4400KL/123/KK/2010/5210</t>
  </si>
  <si>
    <t>deszcz nawalny, grad 2010</t>
  </si>
  <si>
    <t>Fwe-4400KL/120/KK/2010/5209</t>
  </si>
  <si>
    <t>Fwe-4400KL/117/KK/2010/5208</t>
  </si>
  <si>
    <t>huragan</t>
  </si>
  <si>
    <t>Fwe-4400KL/135/KK/2010/5415</t>
  </si>
  <si>
    <t>Fwe-4400KL/139/KK/2010/5462</t>
  </si>
  <si>
    <t>Fwe-4400KL/114/KK/2010/5417</t>
  </si>
  <si>
    <t>powódź, grad 2010</t>
  </si>
  <si>
    <t>Fwe-4400KL/137/KK/2010/5548</t>
  </si>
  <si>
    <t>Fwe-4400KL/145/KK/2010/5664</t>
  </si>
  <si>
    <t>Fwe-4400KL/141/KK/2010/5671</t>
  </si>
  <si>
    <t>Fwe-4400KL/138/KK/2010/5668</t>
  </si>
  <si>
    <t>Fwe-4400KL/150/KK/2010/5667</t>
  </si>
  <si>
    <t>Fwe-4400KL/144/KK/2010/5670</t>
  </si>
  <si>
    <t>Fwe-4400KL/142/KK/2010/5665</t>
  </si>
  <si>
    <t>małopolskie</t>
  </si>
  <si>
    <t>powódź, obsunięcie się ziemi, deszcz nawalny, grad</t>
  </si>
  <si>
    <t>Fwe-4400KL/132/KK/2010/5823</t>
  </si>
  <si>
    <t>deszcz nawalny, huragan</t>
  </si>
  <si>
    <t>Fwe-4400KL/149/KK/2010/5813</t>
  </si>
  <si>
    <t>Fwe-4400KL/121/KK/2010/5809</t>
  </si>
  <si>
    <t>obsunięcie się ziemi, powódź</t>
  </si>
  <si>
    <t>Fwe-4400KL/156/KK/2010/5927</t>
  </si>
  <si>
    <t>Fwe-4400KL/146/KK/2010/5914</t>
  </si>
  <si>
    <t>Fwe-4400KL/154/KK/2010/5915</t>
  </si>
  <si>
    <t>Fwe-4400KL/157/KK/2010/5924</t>
  </si>
  <si>
    <t>powódź i deszcz nawalny oraz grad 2010r.</t>
  </si>
  <si>
    <t>Fwe-4400KL/128/KK/2010/5239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</si>
</sst>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mmm/yyyy"/>
  </numFmts>
  <fonts count="46">
    <font>
      <sz val="10"/>
      <name val="Arial"/>
      <family val="0"/>
    </font>
    <font>
      <b/>
      <i/>
      <sz val="12"/>
      <color indexed="10"/>
      <name val="Arial"/>
      <family val="2"/>
    </font>
    <font>
      <sz val="10"/>
      <name val="Arial CE"/>
      <family val="0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3" fontId="1" fillId="33" borderId="0" xfId="0" applyNumberFormat="1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14" fontId="4" fillId="34" borderId="10" xfId="52" applyNumberFormat="1" applyFont="1" applyFill="1" applyBorder="1" applyAlignment="1">
      <alignment horizontal="center" vertical="center" wrapText="1"/>
      <protection/>
    </xf>
    <xf numFmtId="0" fontId="4" fillId="34" borderId="10" xfId="0" applyFont="1" applyFill="1" applyBorder="1" applyAlignment="1">
      <alignment horizontal="center" vertical="center" wrapText="1"/>
    </xf>
    <xf numFmtId="0" fontId="5" fillId="35" borderId="10" xfId="52" applyFont="1" applyFill="1" applyBorder="1" applyAlignment="1">
      <alignment horizontal="center" vertical="center" wrapText="1"/>
      <protection/>
    </xf>
    <xf numFmtId="0" fontId="4" fillId="35" borderId="10" xfId="52" applyFont="1" applyFill="1" applyBorder="1" applyAlignment="1">
      <alignment horizontal="center" vertical="center" wrapText="1"/>
      <protection/>
    </xf>
    <xf numFmtId="14" fontId="4" fillId="36" borderId="10" xfId="52" applyNumberFormat="1" applyFont="1" applyFill="1" applyBorder="1" applyAlignment="1">
      <alignment horizontal="center" vertical="center" wrapText="1"/>
      <protection/>
    </xf>
    <xf numFmtId="0" fontId="4" fillId="37" borderId="10" xfId="52" applyFont="1" applyFill="1" applyBorder="1" applyAlignment="1">
      <alignment horizontal="center" vertical="center" wrapText="1"/>
      <protection/>
    </xf>
    <xf numFmtId="0" fontId="5" fillId="37" borderId="10" xfId="52" applyFont="1" applyFill="1" applyBorder="1" applyAlignment="1">
      <alignment horizontal="center" vertical="center" wrapText="1"/>
      <protection/>
    </xf>
    <xf numFmtId="4" fontId="4" fillId="35" borderId="10" xfId="52" applyNumberFormat="1" applyFont="1" applyFill="1" applyBorder="1" applyAlignment="1">
      <alignment horizontal="right" vertical="center" wrapText="1"/>
      <protection/>
    </xf>
    <xf numFmtId="3" fontId="4" fillId="34" borderId="10" xfId="52" applyNumberFormat="1" applyFont="1" applyFill="1" applyBorder="1" applyAlignment="1">
      <alignment horizontal="right" vertical="center" wrapText="1"/>
      <protection/>
    </xf>
    <xf numFmtId="4" fontId="4" fillId="34" borderId="10" xfId="52" applyNumberFormat="1" applyFont="1" applyFill="1" applyBorder="1" applyAlignment="1">
      <alignment horizontal="right" vertical="center" wrapText="1"/>
      <protection/>
    </xf>
    <xf numFmtId="4" fontId="4" fillId="37" borderId="10" xfId="52" applyNumberFormat="1" applyFont="1" applyFill="1" applyBorder="1" applyAlignment="1">
      <alignment horizontal="right" vertical="center" wrapText="1"/>
      <protection/>
    </xf>
    <xf numFmtId="3" fontId="4" fillId="36" borderId="10" xfId="52" applyNumberFormat="1" applyFont="1" applyFill="1" applyBorder="1" applyAlignment="1">
      <alignment horizontal="right" vertical="center" wrapText="1"/>
      <protection/>
    </xf>
    <xf numFmtId="4" fontId="4" fillId="36" borderId="10" xfId="52" applyNumberFormat="1" applyFont="1" applyFill="1" applyBorder="1" applyAlignment="1">
      <alignment horizontal="right" vertical="center" wrapText="1"/>
      <protection/>
    </xf>
    <xf numFmtId="14" fontId="4" fillId="38" borderId="10" xfId="52" applyNumberFormat="1" applyFont="1" applyFill="1" applyBorder="1" applyAlignment="1">
      <alignment horizontal="center" vertical="center" wrapText="1"/>
      <protection/>
    </xf>
    <xf numFmtId="0" fontId="0" fillId="33" borderId="0" xfId="0" applyFont="1" applyFill="1" applyAlignment="1">
      <alignment horizontal="center" vertical="center" wrapText="1"/>
    </xf>
    <xf numFmtId="14" fontId="0" fillId="33" borderId="0" xfId="0" applyNumberFormat="1" applyFont="1" applyFill="1" applyAlignment="1">
      <alignment horizontal="center" vertical="center" wrapText="1"/>
    </xf>
    <xf numFmtId="4" fontId="0" fillId="33" borderId="0" xfId="0" applyNumberFormat="1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6" fillId="39" borderId="10" xfId="52" applyFont="1" applyFill="1" applyBorder="1" applyAlignment="1" quotePrefix="1">
      <alignment horizontal="center" vertical="center" wrapText="1"/>
      <protection/>
    </xf>
    <xf numFmtId="0" fontId="6" fillId="33" borderId="10" xfId="52" applyFont="1" applyFill="1" applyBorder="1" applyAlignment="1">
      <alignment horizontal="center" vertical="center" wrapText="1"/>
      <protection/>
    </xf>
    <xf numFmtId="0" fontId="6" fillId="39" borderId="10" xfId="52" applyFont="1" applyFill="1" applyBorder="1" applyAlignment="1">
      <alignment horizontal="center" vertical="center" wrapText="1"/>
      <protection/>
    </xf>
    <xf numFmtId="0" fontId="9" fillId="39" borderId="10" xfId="52" applyFont="1" applyFill="1" applyBorder="1" applyAlignment="1">
      <alignment horizontal="center" vertical="center" wrapText="1"/>
      <protection/>
    </xf>
    <xf numFmtId="3" fontId="9" fillId="39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4" fontId="9" fillId="33" borderId="10" xfId="52" applyNumberFormat="1" applyFont="1" applyFill="1" applyBorder="1" applyAlignment="1">
      <alignment horizontal="center" vertical="center" wrapText="1"/>
      <protection/>
    </xf>
    <xf numFmtId="0" fontId="4" fillId="40" borderId="10" xfId="52" applyFont="1" applyFill="1" applyBorder="1" applyAlignment="1" quotePrefix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" fontId="0" fillId="0" borderId="0" xfId="0" applyNumberFormat="1" applyFont="1" applyAlignment="1">
      <alignment vertical="center"/>
    </xf>
    <xf numFmtId="3" fontId="4" fillId="38" borderId="10" xfId="52" applyNumberFormat="1" applyFont="1" applyFill="1" applyBorder="1" applyAlignment="1">
      <alignment horizontal="right" vertical="center" wrapText="1"/>
      <protection/>
    </xf>
    <xf numFmtId="4" fontId="4" fillId="40" borderId="10" xfId="52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 vertical="center"/>
    </xf>
    <xf numFmtId="3" fontId="4" fillId="41" borderId="10" xfId="52" applyNumberFormat="1" applyFont="1" applyFill="1" applyBorder="1" applyAlignment="1">
      <alignment horizontal="right" vertical="center" wrapText="1"/>
      <protection/>
    </xf>
    <xf numFmtId="4" fontId="4" fillId="41" borderId="10" xfId="52" applyNumberFormat="1" applyFont="1" applyFill="1" applyBorder="1" applyAlignment="1">
      <alignment horizontal="right" vertical="center" wrapText="1"/>
      <protection/>
    </xf>
    <xf numFmtId="0" fontId="4" fillId="42" borderId="10" xfId="0" applyFont="1" applyFill="1" applyBorder="1" applyAlignment="1">
      <alignment horizontal="center" vertical="center"/>
    </xf>
    <xf numFmtId="4" fontId="4" fillId="43" borderId="10" xfId="52" applyNumberFormat="1" applyFont="1" applyFill="1" applyBorder="1" applyAlignment="1">
      <alignment horizontal="right" vertical="center" wrapText="1"/>
      <protection/>
    </xf>
    <xf numFmtId="3" fontId="4" fillId="42" borderId="10" xfId="52" applyNumberFormat="1" applyFont="1" applyFill="1" applyBorder="1" applyAlignment="1">
      <alignment horizontal="right" vertical="center" wrapText="1"/>
      <protection/>
    </xf>
    <xf numFmtId="4" fontId="4" fillId="42" borderId="10" xfId="52" applyNumberFormat="1" applyFont="1" applyFill="1" applyBorder="1" applyAlignment="1">
      <alignment horizontal="right" vertical="center" wrapText="1"/>
      <protection/>
    </xf>
    <xf numFmtId="14" fontId="4" fillId="41" borderId="10" xfId="52" applyNumberFormat="1" applyFont="1" applyFill="1" applyBorder="1" applyAlignment="1">
      <alignment horizontal="center" vertical="center" wrapText="1"/>
      <protection/>
    </xf>
    <xf numFmtId="0" fontId="4" fillId="41" borderId="10" xfId="52" applyFont="1" applyFill="1" applyBorder="1" applyAlignment="1">
      <alignment horizontal="center" vertical="center" wrapText="1"/>
      <protection/>
    </xf>
    <xf numFmtId="14" fontId="4" fillId="42" borderId="10" xfId="0" applyNumberFormat="1" applyFont="1" applyFill="1" applyBorder="1" applyAlignment="1">
      <alignment horizontal="center" vertical="center"/>
    </xf>
    <xf numFmtId="0" fontId="4" fillId="40" borderId="10" xfId="52" applyFont="1" applyFill="1" applyBorder="1" applyAlignment="1">
      <alignment horizontal="center" vertical="center" wrapText="1"/>
      <protection/>
    </xf>
    <xf numFmtId="4" fontId="4" fillId="38" borderId="10" xfId="52" applyNumberFormat="1" applyFont="1" applyFill="1" applyBorder="1" applyAlignment="1">
      <alignment horizontal="right" vertical="center" wrapText="1"/>
      <protection/>
    </xf>
    <xf numFmtId="14" fontId="4" fillId="15" borderId="10" xfId="52" applyNumberFormat="1" applyFont="1" applyFill="1" applyBorder="1" applyAlignment="1">
      <alignment horizontal="center" vertical="center" wrapText="1"/>
      <protection/>
    </xf>
    <xf numFmtId="0" fontId="4" fillId="15" borderId="10" xfId="52" applyFont="1" applyFill="1" applyBorder="1" applyAlignment="1">
      <alignment horizontal="center" vertical="center" wrapText="1"/>
      <protection/>
    </xf>
    <xf numFmtId="4" fontId="4" fillId="15" borderId="10" xfId="52" applyNumberFormat="1" applyFont="1" applyFill="1" applyBorder="1" applyAlignment="1">
      <alignment horizontal="right" vertical="center" wrapText="1"/>
      <protection/>
    </xf>
    <xf numFmtId="3" fontId="4" fillId="15" borderId="10" xfId="52" applyNumberFormat="1" applyFont="1" applyFill="1" applyBorder="1" applyAlignment="1">
      <alignment horizontal="right" vertical="center" wrapText="1"/>
      <protection/>
    </xf>
    <xf numFmtId="14" fontId="4" fillId="44" borderId="10" xfId="52" applyNumberFormat="1" applyFont="1" applyFill="1" applyBorder="1" applyAlignment="1">
      <alignment horizontal="center" vertical="center" wrapText="1"/>
      <protection/>
    </xf>
    <xf numFmtId="0" fontId="4" fillId="44" borderId="10" xfId="52" applyFont="1" applyFill="1" applyBorder="1" applyAlignment="1">
      <alignment horizontal="center" vertical="center" wrapText="1"/>
      <protection/>
    </xf>
    <xf numFmtId="4" fontId="4" fillId="44" borderId="10" xfId="52" applyNumberFormat="1" applyFont="1" applyFill="1" applyBorder="1" applyAlignment="1">
      <alignment horizontal="right" vertical="center" wrapText="1"/>
      <protection/>
    </xf>
    <xf numFmtId="3" fontId="4" fillId="44" borderId="10" xfId="52" applyNumberFormat="1" applyFont="1" applyFill="1" applyBorder="1" applyAlignment="1">
      <alignment horizontal="right" vertical="center" wrapText="1"/>
      <protection/>
    </xf>
    <xf numFmtId="14" fontId="4" fillId="42" borderId="11" xfId="0" applyNumberFormat="1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 horizontal="center" vertical="center"/>
    </xf>
    <xf numFmtId="0" fontId="5" fillId="41" borderId="10" xfId="52" applyFont="1" applyFill="1" applyBorder="1" applyAlignment="1">
      <alignment horizontal="center" vertical="center" wrapText="1"/>
      <protection/>
    </xf>
    <xf numFmtId="0" fontId="5" fillId="15" borderId="10" xfId="52" applyFont="1" applyFill="1" applyBorder="1" applyAlignment="1">
      <alignment horizontal="center" vertical="center" wrapText="1"/>
      <protection/>
    </xf>
    <xf numFmtId="0" fontId="5" fillId="44" borderId="10" xfId="52" applyFont="1" applyFill="1" applyBorder="1" applyAlignment="1">
      <alignment horizontal="center" vertical="center" wrapText="1"/>
      <protection/>
    </xf>
    <xf numFmtId="0" fontId="5" fillId="40" borderId="10" xfId="52" applyFont="1" applyFill="1" applyBorder="1" applyAlignment="1" quotePrefix="1">
      <alignment horizontal="center" vertical="center" wrapText="1"/>
      <protection/>
    </xf>
    <xf numFmtId="0" fontId="4" fillId="42" borderId="12" xfId="0" applyFont="1" applyFill="1" applyBorder="1" applyAlignment="1">
      <alignment horizontal="center" vertical="center" wrapText="1"/>
    </xf>
    <xf numFmtId="0" fontId="4" fillId="15" borderId="10" xfId="0" applyFont="1" applyFill="1" applyBorder="1" applyAlignment="1">
      <alignment horizontal="center" vertical="center" wrapText="1"/>
    </xf>
    <xf numFmtId="0" fontId="5" fillId="45" borderId="10" xfId="52" applyFont="1" applyFill="1" applyBorder="1" applyAlignment="1">
      <alignment horizontal="center" vertical="center" wrapText="1"/>
      <protection/>
    </xf>
    <xf numFmtId="0" fontId="4" fillId="45" borderId="10" xfId="52" applyFont="1" applyFill="1" applyBorder="1" applyAlignment="1">
      <alignment horizontal="center" vertical="center" wrapText="1"/>
      <protection/>
    </xf>
    <xf numFmtId="4" fontId="4" fillId="45" borderId="10" xfId="52" applyNumberFormat="1" applyFont="1" applyFill="1" applyBorder="1" applyAlignment="1">
      <alignment horizontal="right" vertical="center" wrapText="1"/>
      <protection/>
    </xf>
    <xf numFmtId="14" fontId="4" fillId="2" borderId="10" xfId="52" applyNumberFormat="1" applyFont="1" applyFill="1" applyBorder="1" applyAlignment="1">
      <alignment horizontal="center" vertical="center" wrapText="1"/>
      <protection/>
    </xf>
    <xf numFmtId="0" fontId="4" fillId="2" borderId="10" xfId="0" applyFont="1" applyFill="1" applyBorder="1" applyAlignment="1">
      <alignment horizontal="center" vertical="center" wrapText="1"/>
    </xf>
    <xf numFmtId="0" fontId="5" fillId="46" borderId="10" xfId="52" applyFont="1" applyFill="1" applyBorder="1" applyAlignment="1">
      <alignment horizontal="center" vertical="center" wrapText="1"/>
      <protection/>
    </xf>
    <xf numFmtId="0" fontId="4" fillId="46" borderId="10" xfId="52" applyFont="1" applyFill="1" applyBorder="1" applyAlignment="1">
      <alignment horizontal="center" vertical="center" wrapText="1"/>
      <protection/>
    </xf>
    <xf numFmtId="4" fontId="4" fillId="46" borderId="10" xfId="52" applyNumberFormat="1" applyFont="1" applyFill="1" applyBorder="1" applyAlignment="1">
      <alignment horizontal="right" vertical="center" wrapText="1"/>
      <protection/>
    </xf>
    <xf numFmtId="3" fontId="4" fillId="2" borderId="10" xfId="52" applyNumberFormat="1" applyFont="1" applyFill="1" applyBorder="1" applyAlignment="1">
      <alignment horizontal="right" vertical="center" wrapText="1"/>
      <protection/>
    </xf>
    <xf numFmtId="4" fontId="4" fillId="2" borderId="10" xfId="52" applyNumberFormat="1" applyFont="1" applyFill="1" applyBorder="1" applyAlignment="1">
      <alignment horizontal="right" vertical="center" wrapText="1"/>
      <protection/>
    </xf>
    <xf numFmtId="0" fontId="6" fillId="47" borderId="10" xfId="52" applyFont="1" applyFill="1" applyBorder="1" applyAlignment="1" quotePrefix="1">
      <alignment horizontal="center" vertical="center" wrapText="1"/>
      <protection/>
    </xf>
    <xf numFmtId="14" fontId="4" fillId="16" borderId="10" xfId="52" applyNumberFormat="1" applyFont="1" applyFill="1" applyBorder="1" applyAlignment="1">
      <alignment horizontal="center" vertical="center" wrapText="1"/>
      <protection/>
    </xf>
    <xf numFmtId="0" fontId="4" fillId="48" borderId="10" xfId="52" applyFont="1" applyFill="1" applyBorder="1" applyAlignment="1">
      <alignment horizontal="center" vertical="center" wrapText="1"/>
      <protection/>
    </xf>
    <xf numFmtId="0" fontId="5" fillId="48" borderId="10" xfId="52" applyFont="1" applyFill="1" applyBorder="1" applyAlignment="1">
      <alignment horizontal="center" vertical="center" wrapText="1"/>
      <protection/>
    </xf>
    <xf numFmtId="14" fontId="4" fillId="9" borderId="10" xfId="52" applyNumberFormat="1" applyFont="1" applyFill="1" applyBorder="1" applyAlignment="1">
      <alignment horizontal="center" vertical="center" wrapText="1"/>
      <protection/>
    </xf>
    <xf numFmtId="0" fontId="4" fillId="9" borderId="10" xfId="52" applyFont="1" applyFill="1" applyBorder="1" applyAlignment="1">
      <alignment horizontal="center" vertical="center" wrapText="1"/>
      <protection/>
    </xf>
    <xf numFmtId="0" fontId="5" fillId="9" borderId="10" xfId="52" applyFont="1" applyFill="1" applyBorder="1" applyAlignment="1">
      <alignment horizontal="center" vertical="center" wrapText="1"/>
      <protection/>
    </xf>
    <xf numFmtId="4" fontId="4" fillId="9" borderId="10" xfId="52" applyNumberFormat="1" applyFont="1" applyFill="1" applyBorder="1" applyAlignment="1">
      <alignment horizontal="right" vertical="center" wrapText="1"/>
      <protection/>
    </xf>
    <xf numFmtId="3" fontId="4" fillId="9" borderId="10" xfId="52" applyNumberFormat="1" applyFont="1" applyFill="1" applyBorder="1" applyAlignment="1">
      <alignment horizontal="right" vertical="center" wrapText="1"/>
      <protection/>
    </xf>
    <xf numFmtId="14" fontId="4" fillId="13" borderId="10" xfId="52" applyNumberFormat="1" applyFont="1" applyFill="1" applyBorder="1" applyAlignment="1">
      <alignment horizontal="center" vertical="center" wrapText="1"/>
      <protection/>
    </xf>
    <xf numFmtId="0" fontId="4" fillId="49" borderId="10" xfId="52" applyFont="1" applyFill="1" applyBorder="1" applyAlignment="1">
      <alignment horizontal="center" vertical="center" wrapText="1"/>
      <protection/>
    </xf>
    <xf numFmtId="4" fontId="4" fillId="49" borderId="10" xfId="52" applyNumberFormat="1" applyFont="1" applyFill="1" applyBorder="1" applyAlignment="1">
      <alignment horizontal="right" vertical="center" wrapText="1"/>
      <protection/>
    </xf>
    <xf numFmtId="3" fontId="4" fillId="13" borderId="10" xfId="52" applyNumberFormat="1" applyFont="1" applyFill="1" applyBorder="1" applyAlignment="1">
      <alignment horizontal="right" vertical="center" wrapText="1"/>
      <protection/>
    </xf>
    <xf numFmtId="4" fontId="4" fillId="13" borderId="10" xfId="52" applyNumberFormat="1" applyFont="1" applyFill="1" applyBorder="1" applyAlignment="1">
      <alignment horizontal="right" vertical="center" wrapText="1"/>
      <protection/>
    </xf>
    <xf numFmtId="0" fontId="5" fillId="49" borderId="10" xfId="52" applyFont="1" applyFill="1" applyBorder="1" applyAlignment="1">
      <alignment horizontal="center" vertical="center" wrapText="1"/>
      <protection/>
    </xf>
    <xf numFmtId="14" fontId="4" fillId="50" borderId="10" xfId="52" applyNumberFormat="1" applyFont="1" applyFill="1" applyBorder="1" applyAlignment="1">
      <alignment horizontal="center" vertical="center" wrapText="1"/>
      <protection/>
    </xf>
    <xf numFmtId="0" fontId="4" fillId="50" borderId="10" xfId="0" applyFont="1" applyFill="1" applyBorder="1" applyAlignment="1">
      <alignment horizontal="center" vertical="center" wrapText="1"/>
    </xf>
    <xf numFmtId="0" fontId="5" fillId="51" borderId="10" xfId="52" applyFont="1" applyFill="1" applyBorder="1" applyAlignment="1">
      <alignment horizontal="center" vertical="center" wrapText="1"/>
      <protection/>
    </xf>
    <xf numFmtId="0" fontId="4" fillId="51" borderId="10" xfId="52" applyFont="1" applyFill="1" applyBorder="1" applyAlignment="1">
      <alignment horizontal="center" vertical="center" wrapText="1"/>
      <protection/>
    </xf>
    <xf numFmtId="4" fontId="4" fillId="51" borderId="10" xfId="52" applyNumberFormat="1" applyFont="1" applyFill="1" applyBorder="1" applyAlignment="1">
      <alignment horizontal="right" vertical="center" wrapText="1"/>
      <protection/>
    </xf>
    <xf numFmtId="3" fontId="4" fillId="50" borderId="10" xfId="52" applyNumberFormat="1" applyFont="1" applyFill="1" applyBorder="1" applyAlignment="1">
      <alignment horizontal="right" vertical="center" wrapText="1"/>
      <protection/>
    </xf>
    <xf numFmtId="4" fontId="4" fillId="50" borderId="10" xfId="52" applyNumberFormat="1" applyFont="1" applyFill="1" applyBorder="1" applyAlignment="1">
      <alignment horizontal="right" vertical="center" wrapText="1"/>
      <protection/>
    </xf>
    <xf numFmtId="4" fontId="11" fillId="52" borderId="10" xfId="0" applyNumberFormat="1" applyFont="1" applyFill="1" applyBorder="1" applyAlignment="1">
      <alignment horizontal="right" vertical="center"/>
    </xf>
    <xf numFmtId="4" fontId="4" fillId="53" borderId="10" xfId="52" applyNumberFormat="1" applyFont="1" applyFill="1" applyBorder="1" applyAlignment="1">
      <alignment horizontal="right" vertical="center" wrapText="1"/>
      <protection/>
    </xf>
    <xf numFmtId="3" fontId="4" fillId="54" borderId="10" xfId="52" applyNumberFormat="1" applyFont="1" applyFill="1" applyBorder="1" applyAlignment="1">
      <alignment horizontal="right" vertical="center" wrapText="1"/>
      <protection/>
    </xf>
    <xf numFmtId="4" fontId="4" fillId="54" borderId="10" xfId="52" applyNumberFormat="1" applyFont="1" applyFill="1" applyBorder="1" applyAlignment="1">
      <alignment horizontal="right" vertical="center" wrapText="1"/>
      <protection/>
    </xf>
    <xf numFmtId="14" fontId="4" fillId="54" borderId="10" xfId="0" applyNumberFormat="1" applyFont="1" applyFill="1" applyBorder="1" applyAlignment="1">
      <alignment horizontal="center" vertical="center"/>
    </xf>
    <xf numFmtId="0" fontId="4" fillId="54" borderId="10" xfId="0" applyFont="1" applyFill="1" applyBorder="1" applyAlignment="1">
      <alignment horizontal="center" vertical="center"/>
    </xf>
    <xf numFmtId="0" fontId="5" fillId="54" borderId="10" xfId="0" applyFont="1" applyFill="1" applyBorder="1" applyAlignment="1">
      <alignment horizontal="center" vertical="center"/>
    </xf>
    <xf numFmtId="0" fontId="4" fillId="54" borderId="10" xfId="0" applyFont="1" applyFill="1" applyBorder="1" applyAlignment="1">
      <alignment horizontal="center" vertical="center" wrapText="1"/>
    </xf>
    <xf numFmtId="14" fontId="4" fillId="54" borderId="10" xfId="52" applyNumberFormat="1" applyFont="1" applyFill="1" applyBorder="1" applyAlignment="1">
      <alignment horizontal="center" vertical="center" wrapText="1"/>
      <protection/>
    </xf>
    <xf numFmtId="0" fontId="4" fillId="53" borderId="10" xfId="52" applyFont="1" applyFill="1" applyBorder="1" applyAlignment="1">
      <alignment horizontal="center" vertical="center" wrapText="1"/>
      <protection/>
    </xf>
    <xf numFmtId="0" fontId="5" fillId="53" borderId="10" xfId="52" applyFont="1" applyFill="1" applyBorder="1" applyAlignment="1">
      <alignment horizontal="center" vertical="center" wrapText="1"/>
      <protection/>
    </xf>
    <xf numFmtId="4" fontId="4" fillId="48" borderId="10" xfId="52" applyNumberFormat="1" applyFont="1" applyFill="1" applyBorder="1" applyAlignment="1">
      <alignment horizontal="right" vertical="center" wrapText="1"/>
      <protection/>
    </xf>
    <xf numFmtId="3" fontId="4" fillId="16" borderId="10" xfId="52" applyNumberFormat="1" applyFont="1" applyFill="1" applyBorder="1" applyAlignment="1">
      <alignment horizontal="right" vertical="center" wrapText="1"/>
      <protection/>
    </xf>
    <xf numFmtId="4" fontId="4" fillId="16" borderId="10" xfId="52" applyNumberFormat="1" applyFont="1" applyFill="1" applyBorder="1" applyAlignment="1">
      <alignment horizontal="right" vertical="center" wrapText="1"/>
      <protection/>
    </xf>
    <xf numFmtId="14" fontId="4" fillId="55" borderId="10" xfId="52" applyNumberFormat="1" applyFont="1" applyFill="1" applyBorder="1" applyAlignment="1">
      <alignment horizontal="center" vertical="center" wrapText="1"/>
      <protection/>
    </xf>
    <xf numFmtId="0" fontId="4" fillId="55" borderId="10" xfId="52" applyFont="1" applyFill="1" applyBorder="1" applyAlignment="1">
      <alignment horizontal="center" vertical="center" wrapText="1"/>
      <protection/>
    </xf>
    <xf numFmtId="0" fontId="5" fillId="55" borderId="10" xfId="52" applyFont="1" applyFill="1" applyBorder="1" applyAlignment="1">
      <alignment horizontal="center" vertical="center" wrapText="1"/>
      <protection/>
    </xf>
    <xf numFmtId="4" fontId="4" fillId="55" borderId="10" xfId="52" applyNumberFormat="1" applyFont="1" applyFill="1" applyBorder="1" applyAlignment="1">
      <alignment horizontal="right" vertical="center" wrapText="1"/>
      <protection/>
    </xf>
    <xf numFmtId="3" fontId="4" fillId="55" borderId="10" xfId="52" applyNumberFormat="1" applyFont="1" applyFill="1" applyBorder="1" applyAlignment="1">
      <alignment horizontal="right" vertical="center" wrapText="1"/>
      <protection/>
    </xf>
    <xf numFmtId="0" fontId="10" fillId="17" borderId="10" xfId="52" applyFont="1" applyFill="1" applyBorder="1" applyAlignment="1">
      <alignment horizontal="center" vertical="center" wrapText="1"/>
      <protection/>
    </xf>
    <xf numFmtId="0" fontId="6" fillId="52" borderId="13" xfId="0" applyFont="1" applyFill="1" applyBorder="1" applyAlignment="1">
      <alignment horizontal="center" vertical="center" wrapText="1"/>
    </xf>
    <xf numFmtId="0" fontId="6" fillId="52" borderId="11" xfId="0" applyFont="1" applyFill="1" applyBorder="1" applyAlignment="1">
      <alignment horizontal="center" vertical="center" wrapText="1"/>
    </xf>
    <xf numFmtId="0" fontId="6" fillId="52" borderId="12" xfId="0" applyFont="1" applyFill="1" applyBorder="1" applyAlignment="1">
      <alignment horizontal="center" vertical="center" wrapText="1"/>
    </xf>
    <xf numFmtId="22" fontId="1" fillId="33" borderId="14" xfId="0" applyNumberFormat="1" applyFont="1" applyFill="1" applyBorder="1" applyAlignment="1">
      <alignment horizontal="left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dxfs count="2">
    <dxf>
      <fill>
        <patternFill>
          <bgColor indexed="13"/>
        </patternFill>
      </fill>
    </dxf>
    <dxf>
      <fill>
        <patternFill>
          <bgColor indexed="4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westycyjne\KLESKI\NOWA%20POMOC%20KRAJOWA\2010\Zgody%20MRiRW\Tabele\zgody_na%202010_zwieksz_na_I_kw_2011_31_01_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gody 2010"/>
      <sheetName val="do wydruku"/>
      <sheetName val="Arkusz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05"/>
  <sheetViews>
    <sheetView tabSelected="1" zoomScalePageLayoutView="0" workbookViewId="0" topLeftCell="A1">
      <pane xSplit="4" ySplit="5" topLeftCell="E97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99" sqref="E99"/>
    </sheetView>
  </sheetViews>
  <sheetFormatPr defaultColWidth="9.140625" defaultRowHeight="12.75"/>
  <cols>
    <col min="1" max="1" width="6.28125" style="2" customWidth="1"/>
    <col min="2" max="2" width="15.140625" style="2" customWidth="1"/>
    <col min="3" max="3" width="34.421875" style="2" customWidth="1"/>
    <col min="4" max="4" width="23.7109375" style="2" customWidth="1"/>
    <col min="5" max="5" width="30.421875" style="2" customWidth="1"/>
    <col min="6" max="6" width="21.7109375" style="2" customWidth="1"/>
    <col min="7" max="7" width="19.421875" style="2" bestFit="1" customWidth="1"/>
    <col min="8" max="8" width="22.140625" style="2" customWidth="1"/>
    <col min="9" max="9" width="17.7109375" style="2" customWidth="1"/>
    <col min="10" max="10" width="14.8515625" style="2" customWidth="1"/>
    <col min="11" max="11" width="10.00390625" style="2" bestFit="1" customWidth="1"/>
    <col min="12" max="16384" width="9.140625" style="2" customWidth="1"/>
  </cols>
  <sheetData>
    <row r="3" spans="1:10" ht="15">
      <c r="A3" s="17"/>
      <c r="B3" s="18"/>
      <c r="C3" s="17"/>
      <c r="D3" s="17"/>
      <c r="E3" s="17"/>
      <c r="F3" s="19"/>
      <c r="G3" s="20"/>
      <c r="H3" s="1" t="s">
        <v>0</v>
      </c>
      <c r="I3" s="117">
        <f ca="1">NOW()</f>
        <v>40606.48458668982</v>
      </c>
      <c r="J3" s="117"/>
    </row>
    <row r="4" spans="1:10" ht="32.25" customHeight="1">
      <c r="A4" s="113" t="s">
        <v>12</v>
      </c>
      <c r="B4" s="113"/>
      <c r="C4" s="113"/>
      <c r="D4" s="113"/>
      <c r="E4" s="113"/>
      <c r="F4" s="113"/>
      <c r="G4" s="113"/>
      <c r="H4" s="113"/>
      <c r="I4" s="113"/>
      <c r="J4" s="113"/>
    </row>
    <row r="5" spans="1:10" ht="98.25" customHeight="1">
      <c r="A5" s="21" t="s">
        <v>1</v>
      </c>
      <c r="B5" s="22" t="s">
        <v>2</v>
      </c>
      <c r="C5" s="23" t="s">
        <v>3</v>
      </c>
      <c r="D5" s="23" t="s">
        <v>4</v>
      </c>
      <c r="E5" s="24" t="s">
        <v>5</v>
      </c>
      <c r="F5" s="24" t="s">
        <v>22</v>
      </c>
      <c r="G5" s="25" t="s">
        <v>23</v>
      </c>
      <c r="H5" s="25" t="s">
        <v>6</v>
      </c>
      <c r="I5" s="26" t="s">
        <v>7</v>
      </c>
      <c r="J5" s="27" t="s">
        <v>8</v>
      </c>
    </row>
    <row r="6" spans="1:10" ht="45.75" customHeight="1">
      <c r="A6" s="72">
        <v>1</v>
      </c>
      <c r="B6" s="73">
        <v>40442</v>
      </c>
      <c r="C6" s="74" t="s">
        <v>61</v>
      </c>
      <c r="D6" s="75" t="s">
        <v>62</v>
      </c>
      <c r="E6" s="74" t="s">
        <v>20</v>
      </c>
      <c r="F6" s="105">
        <v>71944442.99</v>
      </c>
      <c r="G6" s="105">
        <v>211251.23</v>
      </c>
      <c r="H6" s="105">
        <f aca="true" t="shared" si="0" ref="H6:H18">F6+G6</f>
        <v>72155694.22</v>
      </c>
      <c r="I6" s="106">
        <v>1565</v>
      </c>
      <c r="J6" s="107">
        <v>37875.25</v>
      </c>
    </row>
    <row r="7" spans="1:10" ht="52.5" customHeight="1">
      <c r="A7" s="72">
        <f>A6+1</f>
        <v>2</v>
      </c>
      <c r="B7" s="73">
        <v>40442</v>
      </c>
      <c r="C7" s="74" t="s">
        <v>63</v>
      </c>
      <c r="D7" s="75" t="s">
        <v>62</v>
      </c>
      <c r="E7" s="74" t="s">
        <v>44</v>
      </c>
      <c r="F7" s="105">
        <v>7005253.7</v>
      </c>
      <c r="G7" s="105">
        <v>0</v>
      </c>
      <c r="H7" s="105">
        <f t="shared" si="0"/>
        <v>7005253.7</v>
      </c>
      <c r="I7" s="106">
        <v>289</v>
      </c>
      <c r="J7" s="107">
        <v>6180.29</v>
      </c>
    </row>
    <row r="8" spans="1:10" ht="52.5" customHeight="1">
      <c r="A8" s="72">
        <f aca="true" t="shared" si="1" ref="A8:A78">A7+1</f>
        <v>3</v>
      </c>
      <c r="B8" s="73">
        <v>40466</v>
      </c>
      <c r="C8" s="74" t="s">
        <v>101</v>
      </c>
      <c r="D8" s="75" t="s">
        <v>62</v>
      </c>
      <c r="E8" s="74" t="s">
        <v>102</v>
      </c>
      <c r="F8" s="105">
        <v>4125757.58</v>
      </c>
      <c r="G8" s="105">
        <f>40000+126000</f>
        <v>166000</v>
      </c>
      <c r="H8" s="105">
        <f t="shared" si="0"/>
        <v>4291757.58</v>
      </c>
      <c r="I8" s="106">
        <f>81+3+1</f>
        <v>85</v>
      </c>
      <c r="J8" s="107">
        <f>1645.99+271.65+74.6</f>
        <v>1992.2399999999998</v>
      </c>
    </row>
    <row r="9" spans="1:10" ht="52.5" customHeight="1">
      <c r="A9" s="72">
        <f t="shared" si="1"/>
        <v>4</v>
      </c>
      <c r="B9" s="73">
        <v>40479</v>
      </c>
      <c r="C9" s="74" t="s">
        <v>117</v>
      </c>
      <c r="D9" s="75" t="s">
        <v>62</v>
      </c>
      <c r="E9" s="74" t="s">
        <v>118</v>
      </c>
      <c r="F9" s="105">
        <f>10923669.94+2842285.9</f>
        <v>13765955.84</v>
      </c>
      <c r="G9" s="105">
        <f>25200+153300.56</f>
        <v>178500.56</v>
      </c>
      <c r="H9" s="105">
        <f t="shared" si="0"/>
        <v>13944456.4</v>
      </c>
      <c r="I9" s="106">
        <f>62+178</f>
        <v>240</v>
      </c>
      <c r="J9" s="107">
        <f>1873.58+6434.5</f>
        <v>8308.08</v>
      </c>
    </row>
    <row r="10" spans="1:10" ht="52.5" customHeight="1">
      <c r="A10" s="72">
        <f t="shared" si="1"/>
        <v>5</v>
      </c>
      <c r="B10" s="73">
        <v>40506</v>
      </c>
      <c r="C10" s="74" t="s">
        <v>130</v>
      </c>
      <c r="D10" s="75" t="s">
        <v>62</v>
      </c>
      <c r="E10" s="74" t="s">
        <v>131</v>
      </c>
      <c r="F10" s="105">
        <f>3656126.12+11159849.95</f>
        <v>14815976.07</v>
      </c>
      <c r="G10" s="105">
        <f>205000</f>
        <v>205000</v>
      </c>
      <c r="H10" s="105">
        <f t="shared" si="0"/>
        <v>15020976.07</v>
      </c>
      <c r="I10" s="106">
        <f>34+239</f>
        <v>273</v>
      </c>
      <c r="J10" s="107">
        <f>3330.88+7052.01</f>
        <v>10382.89</v>
      </c>
    </row>
    <row r="11" spans="1:10" ht="52.5" customHeight="1">
      <c r="A11" s="72">
        <f t="shared" si="1"/>
        <v>6</v>
      </c>
      <c r="B11" s="73">
        <v>40528</v>
      </c>
      <c r="C11" s="74" t="s">
        <v>152</v>
      </c>
      <c r="D11" s="75" t="s">
        <v>62</v>
      </c>
      <c r="E11" s="74" t="s">
        <v>131</v>
      </c>
      <c r="F11" s="105">
        <f>1045007.01+289146.27</f>
        <v>1334153.28</v>
      </c>
      <c r="G11" s="105">
        <f>1111765.26</f>
        <v>1111765.26</v>
      </c>
      <c r="H11" s="105">
        <f t="shared" si="0"/>
        <v>2445918.54</v>
      </c>
      <c r="I11" s="106">
        <f>9+43</f>
        <v>52</v>
      </c>
      <c r="J11" s="107">
        <f>759.17+281.2</f>
        <v>1040.37</v>
      </c>
    </row>
    <row r="12" spans="1:10" s="34" customFormat="1" ht="49.5" customHeight="1">
      <c r="A12" s="72">
        <f t="shared" si="1"/>
        <v>7</v>
      </c>
      <c r="B12" s="41">
        <v>40403</v>
      </c>
      <c r="C12" s="42" t="s">
        <v>26</v>
      </c>
      <c r="D12" s="56" t="s">
        <v>27</v>
      </c>
      <c r="E12" s="42" t="s">
        <v>17</v>
      </c>
      <c r="F12" s="36">
        <v>1116444</v>
      </c>
      <c r="G12" s="36">
        <v>0</v>
      </c>
      <c r="H12" s="36">
        <f t="shared" si="0"/>
        <v>1116444</v>
      </c>
      <c r="I12" s="35">
        <v>40</v>
      </c>
      <c r="J12" s="36">
        <v>462</v>
      </c>
    </row>
    <row r="13" spans="1:10" s="34" customFormat="1" ht="49.5" customHeight="1">
      <c r="A13" s="72">
        <f t="shared" si="1"/>
        <v>8</v>
      </c>
      <c r="B13" s="41">
        <v>40408</v>
      </c>
      <c r="C13" s="42" t="s">
        <v>28</v>
      </c>
      <c r="D13" s="56" t="s">
        <v>27</v>
      </c>
      <c r="E13" s="42" t="s">
        <v>29</v>
      </c>
      <c r="F13" s="36">
        <v>32943476</v>
      </c>
      <c r="G13" s="36">
        <v>0</v>
      </c>
      <c r="H13" s="36">
        <f t="shared" si="0"/>
        <v>32943476</v>
      </c>
      <c r="I13" s="35">
        <v>1517</v>
      </c>
      <c r="J13" s="36">
        <v>15763</v>
      </c>
    </row>
    <row r="14" spans="1:10" s="34" customFormat="1" ht="49.5" customHeight="1">
      <c r="A14" s="72">
        <f t="shared" si="1"/>
        <v>9</v>
      </c>
      <c r="B14" s="41">
        <v>40442</v>
      </c>
      <c r="C14" s="42" t="s">
        <v>64</v>
      </c>
      <c r="D14" s="56" t="s">
        <v>27</v>
      </c>
      <c r="E14" s="42" t="s">
        <v>29</v>
      </c>
      <c r="F14" s="36">
        <v>82174013</v>
      </c>
      <c r="G14" s="36">
        <v>0</v>
      </c>
      <c r="H14" s="36">
        <f t="shared" si="0"/>
        <v>82174013</v>
      </c>
      <c r="I14" s="35">
        <v>4920</v>
      </c>
      <c r="J14" s="36">
        <v>57632</v>
      </c>
    </row>
    <row r="15" spans="1:10" s="34" customFormat="1" ht="49.5" customHeight="1">
      <c r="A15" s="72">
        <f t="shared" si="1"/>
        <v>10</v>
      </c>
      <c r="B15" s="41">
        <v>40466</v>
      </c>
      <c r="C15" s="42" t="s">
        <v>103</v>
      </c>
      <c r="D15" s="56" t="s">
        <v>27</v>
      </c>
      <c r="E15" s="42" t="s">
        <v>104</v>
      </c>
      <c r="F15" s="36">
        <f>5193189+221643</f>
        <v>5414832</v>
      </c>
      <c r="G15" s="36">
        <v>0</v>
      </c>
      <c r="H15" s="36">
        <f t="shared" si="0"/>
        <v>5414832</v>
      </c>
      <c r="I15" s="35">
        <f>131+32</f>
        <v>163</v>
      </c>
      <c r="J15" s="36">
        <f>1732+227</f>
        <v>1959</v>
      </c>
    </row>
    <row r="16" spans="1:10" s="34" customFormat="1" ht="49.5" customHeight="1">
      <c r="A16" s="72">
        <f t="shared" si="1"/>
        <v>11</v>
      </c>
      <c r="B16" s="41">
        <v>40472</v>
      </c>
      <c r="C16" s="42" t="s">
        <v>110</v>
      </c>
      <c r="D16" s="56" t="s">
        <v>27</v>
      </c>
      <c r="E16" s="42" t="s">
        <v>111</v>
      </c>
      <c r="F16" s="36">
        <f>11746058+1809452+508588</f>
        <v>14064098</v>
      </c>
      <c r="G16" s="36">
        <v>200155</v>
      </c>
      <c r="H16" s="36">
        <f t="shared" si="0"/>
        <v>14264253</v>
      </c>
      <c r="I16" s="35">
        <f>267+128+13+18</f>
        <v>426</v>
      </c>
      <c r="J16" s="36">
        <f>4900+1027+191</f>
        <v>6118</v>
      </c>
    </row>
    <row r="17" spans="1:10" s="34" customFormat="1" ht="49.5" customHeight="1">
      <c r="A17" s="72">
        <f t="shared" si="1"/>
        <v>12</v>
      </c>
      <c r="B17" s="41">
        <v>40501</v>
      </c>
      <c r="C17" s="42" t="s">
        <v>132</v>
      </c>
      <c r="D17" s="56" t="s">
        <v>27</v>
      </c>
      <c r="E17" s="42" t="s">
        <v>48</v>
      </c>
      <c r="F17" s="36">
        <f>1604519</f>
        <v>1604519</v>
      </c>
      <c r="G17" s="36">
        <f>1916905</f>
        <v>1916905</v>
      </c>
      <c r="H17" s="36">
        <f t="shared" si="0"/>
        <v>3521424</v>
      </c>
      <c r="I17" s="35">
        <f>124+43</f>
        <v>167</v>
      </c>
      <c r="J17" s="36">
        <f>774</f>
        <v>774</v>
      </c>
    </row>
    <row r="18" spans="1:10" s="34" customFormat="1" ht="49.5" customHeight="1">
      <c r="A18" s="72">
        <f t="shared" si="1"/>
        <v>13</v>
      </c>
      <c r="B18" s="41">
        <v>40541</v>
      </c>
      <c r="C18" s="42" t="s">
        <v>166</v>
      </c>
      <c r="D18" s="56" t="s">
        <v>27</v>
      </c>
      <c r="E18" s="42" t="s">
        <v>29</v>
      </c>
      <c r="F18" s="36">
        <f>7483227+1383425</f>
        <v>8866652</v>
      </c>
      <c r="G18" s="36">
        <f>179640</f>
        <v>179640</v>
      </c>
      <c r="H18" s="36">
        <f t="shared" si="0"/>
        <v>9046292</v>
      </c>
      <c r="I18" s="35">
        <f>292+71</f>
        <v>363</v>
      </c>
      <c r="J18" s="36">
        <f>632+2532</f>
        <v>3164</v>
      </c>
    </row>
    <row r="19" spans="1:10" s="34" customFormat="1" ht="49.5" customHeight="1">
      <c r="A19" s="72">
        <f t="shared" si="1"/>
        <v>14</v>
      </c>
      <c r="B19" s="46" t="s">
        <v>36</v>
      </c>
      <c r="C19" s="47" t="s">
        <v>39</v>
      </c>
      <c r="D19" s="57" t="s">
        <v>40</v>
      </c>
      <c r="E19" s="47" t="s">
        <v>29</v>
      </c>
      <c r="F19" s="48">
        <v>6393047</v>
      </c>
      <c r="G19" s="48">
        <v>370000</v>
      </c>
      <c r="H19" s="48">
        <f aca="true" t="shared" si="2" ref="H19:H35">F19+G19</f>
        <v>6763047</v>
      </c>
      <c r="I19" s="49">
        <v>491</v>
      </c>
      <c r="J19" s="48">
        <v>1684</v>
      </c>
    </row>
    <row r="20" spans="1:10" s="34" customFormat="1" ht="49.5" customHeight="1">
      <c r="A20" s="72">
        <f t="shared" si="1"/>
        <v>15</v>
      </c>
      <c r="B20" s="46">
        <v>40451</v>
      </c>
      <c r="C20" s="47" t="s">
        <v>76</v>
      </c>
      <c r="D20" s="57" t="s">
        <v>40</v>
      </c>
      <c r="E20" s="47" t="s">
        <v>71</v>
      </c>
      <c r="F20" s="48">
        <v>56143035.63</v>
      </c>
      <c r="G20" s="48">
        <v>11028244</v>
      </c>
      <c r="H20" s="48">
        <f t="shared" si="2"/>
        <v>67171279.63</v>
      </c>
      <c r="I20" s="49">
        <v>1756</v>
      </c>
      <c r="J20" s="48">
        <v>5294.62</v>
      </c>
    </row>
    <row r="21" spans="1:10" s="34" customFormat="1" ht="49.5" customHeight="1">
      <c r="A21" s="72">
        <f t="shared" si="1"/>
        <v>16</v>
      </c>
      <c r="B21" s="46">
        <v>40470</v>
      </c>
      <c r="C21" s="47" t="s">
        <v>105</v>
      </c>
      <c r="D21" s="57" t="s">
        <v>40</v>
      </c>
      <c r="E21" s="47" t="s">
        <v>106</v>
      </c>
      <c r="F21" s="48">
        <v>93869011.09</v>
      </c>
      <c r="G21" s="48">
        <v>68633320</v>
      </c>
      <c r="H21" s="48">
        <f t="shared" si="2"/>
        <v>162502331.09</v>
      </c>
      <c r="I21" s="49">
        <f>1761</f>
        <v>1761</v>
      </c>
      <c r="J21" s="48">
        <v>6329.8</v>
      </c>
    </row>
    <row r="22" spans="1:10" s="34" customFormat="1" ht="49.5" customHeight="1">
      <c r="A22" s="72">
        <f t="shared" si="1"/>
        <v>17</v>
      </c>
      <c r="B22" s="46">
        <v>40473</v>
      </c>
      <c r="C22" s="47" t="s">
        <v>112</v>
      </c>
      <c r="D22" s="57" t="s">
        <v>40</v>
      </c>
      <c r="E22" s="47" t="s">
        <v>113</v>
      </c>
      <c r="F22" s="48">
        <v>976796.55</v>
      </c>
      <c r="G22" s="48">
        <v>41064</v>
      </c>
      <c r="H22" s="48">
        <f t="shared" si="2"/>
        <v>1017860.55</v>
      </c>
      <c r="I22" s="49">
        <v>90</v>
      </c>
      <c r="J22" s="48">
        <v>375.6</v>
      </c>
    </row>
    <row r="23" spans="1:10" s="34" customFormat="1" ht="49.5" customHeight="1">
      <c r="A23" s="72">
        <f t="shared" si="1"/>
        <v>18</v>
      </c>
      <c r="B23" s="46">
        <v>40501</v>
      </c>
      <c r="C23" s="47" t="s">
        <v>133</v>
      </c>
      <c r="D23" s="57" t="s">
        <v>40</v>
      </c>
      <c r="E23" s="47" t="s">
        <v>48</v>
      </c>
      <c r="F23" s="48">
        <f>1326461.1</f>
        <v>1326461.1</v>
      </c>
      <c r="G23" s="48">
        <v>0</v>
      </c>
      <c r="H23" s="48">
        <f t="shared" si="2"/>
        <v>1326461.1</v>
      </c>
      <c r="I23" s="49">
        <v>87</v>
      </c>
      <c r="J23" s="48">
        <v>371.03</v>
      </c>
    </row>
    <row r="24" spans="1:10" s="34" customFormat="1" ht="49.5" customHeight="1">
      <c r="A24" s="72">
        <f t="shared" si="1"/>
        <v>19</v>
      </c>
      <c r="B24" s="46">
        <v>40501</v>
      </c>
      <c r="C24" s="47" t="s">
        <v>134</v>
      </c>
      <c r="D24" s="57" t="s">
        <v>40</v>
      </c>
      <c r="E24" s="47" t="s">
        <v>135</v>
      </c>
      <c r="F24" s="48">
        <f>490976.94+123780.11</f>
        <v>614757.05</v>
      </c>
      <c r="G24" s="48">
        <f>142200</f>
        <v>142200</v>
      </c>
      <c r="H24" s="48">
        <f t="shared" si="2"/>
        <v>756957.05</v>
      </c>
      <c r="I24" s="49">
        <f>72+3</f>
        <v>75</v>
      </c>
      <c r="J24" s="48">
        <f>240.32+1.55</f>
        <v>241.87</v>
      </c>
    </row>
    <row r="25" spans="1:10" s="34" customFormat="1" ht="49.5" customHeight="1">
      <c r="A25" s="72">
        <f t="shared" si="1"/>
        <v>20</v>
      </c>
      <c r="B25" s="46">
        <v>40512</v>
      </c>
      <c r="C25" s="47" t="s">
        <v>149</v>
      </c>
      <c r="D25" s="57" t="s">
        <v>40</v>
      </c>
      <c r="E25" s="47" t="s">
        <v>150</v>
      </c>
      <c r="F25" s="48">
        <f>558024.57+546539.86</f>
        <v>1104564.43</v>
      </c>
      <c r="G25" s="48">
        <v>50000</v>
      </c>
      <c r="H25" s="48">
        <f t="shared" si="2"/>
        <v>1154564.43</v>
      </c>
      <c r="I25" s="49">
        <f>19+31</f>
        <v>50</v>
      </c>
      <c r="J25" s="48">
        <f>31.4+142.54</f>
        <v>173.94</v>
      </c>
    </row>
    <row r="26" spans="1:10" s="34" customFormat="1" ht="49.5" customHeight="1">
      <c r="A26" s="72">
        <f t="shared" si="1"/>
        <v>21</v>
      </c>
      <c r="B26" s="46">
        <v>40528</v>
      </c>
      <c r="C26" s="47" t="s">
        <v>153</v>
      </c>
      <c r="D26" s="57" t="s">
        <v>40</v>
      </c>
      <c r="E26" s="47" t="s">
        <v>48</v>
      </c>
      <c r="F26" s="48">
        <v>819554.43</v>
      </c>
      <c r="G26" s="48">
        <v>0</v>
      </c>
      <c r="H26" s="48">
        <f t="shared" si="2"/>
        <v>819554.43</v>
      </c>
      <c r="I26" s="49">
        <v>43</v>
      </c>
      <c r="J26" s="48">
        <v>149.91</v>
      </c>
    </row>
    <row r="27" spans="1:10" s="34" customFormat="1" ht="49.5" customHeight="1">
      <c r="A27" s="72">
        <f t="shared" si="1"/>
        <v>22</v>
      </c>
      <c r="B27" s="50">
        <v>40421</v>
      </c>
      <c r="C27" s="51" t="s">
        <v>42</v>
      </c>
      <c r="D27" s="58" t="s">
        <v>43</v>
      </c>
      <c r="E27" s="51" t="s">
        <v>44</v>
      </c>
      <c r="F27" s="52">
        <v>25041781</v>
      </c>
      <c r="G27" s="52">
        <v>245900</v>
      </c>
      <c r="H27" s="52">
        <f t="shared" si="2"/>
        <v>25287681</v>
      </c>
      <c r="I27" s="53">
        <v>974</v>
      </c>
      <c r="J27" s="52">
        <v>32190</v>
      </c>
    </row>
    <row r="28" spans="1:10" s="34" customFormat="1" ht="49.5" customHeight="1">
      <c r="A28" s="72">
        <f t="shared" si="1"/>
        <v>23</v>
      </c>
      <c r="B28" s="50">
        <v>40438</v>
      </c>
      <c r="C28" s="51" t="s">
        <v>65</v>
      </c>
      <c r="D28" s="58" t="s">
        <v>43</v>
      </c>
      <c r="E28" s="51" t="s">
        <v>44</v>
      </c>
      <c r="F28" s="52">
        <v>94717.92</v>
      </c>
      <c r="G28" s="52">
        <v>0</v>
      </c>
      <c r="H28" s="52">
        <f t="shared" si="2"/>
        <v>94717.92</v>
      </c>
      <c r="I28" s="53">
        <v>8</v>
      </c>
      <c r="J28" s="52">
        <v>103.98</v>
      </c>
    </row>
    <row r="29" spans="1:10" s="34" customFormat="1" ht="49.5" customHeight="1">
      <c r="A29" s="72">
        <f t="shared" si="1"/>
        <v>24</v>
      </c>
      <c r="B29" s="50">
        <v>40463</v>
      </c>
      <c r="C29" s="51" t="s">
        <v>91</v>
      </c>
      <c r="D29" s="58" t="s">
        <v>43</v>
      </c>
      <c r="E29" s="51" t="s">
        <v>92</v>
      </c>
      <c r="F29" s="52">
        <v>14439106</v>
      </c>
      <c r="G29" s="52">
        <v>8037</v>
      </c>
      <c r="H29" s="52">
        <f t="shared" si="2"/>
        <v>14447143</v>
      </c>
      <c r="I29" s="53">
        <v>688</v>
      </c>
      <c r="J29" s="52">
        <v>22722</v>
      </c>
    </row>
    <row r="30" spans="1:10" s="34" customFormat="1" ht="49.5" customHeight="1">
      <c r="A30" s="72">
        <f t="shared" si="1"/>
        <v>25</v>
      </c>
      <c r="B30" s="50">
        <v>40476</v>
      </c>
      <c r="C30" s="51" t="s">
        <v>114</v>
      </c>
      <c r="D30" s="58" t="s">
        <v>43</v>
      </c>
      <c r="E30" s="51" t="s">
        <v>44</v>
      </c>
      <c r="F30" s="52">
        <v>780223</v>
      </c>
      <c r="G30" s="52">
        <v>38653</v>
      </c>
      <c r="H30" s="52">
        <f t="shared" si="2"/>
        <v>818876</v>
      </c>
      <c r="I30" s="53">
        <v>47</v>
      </c>
      <c r="J30" s="52">
        <v>964</v>
      </c>
    </row>
    <row r="31" spans="1:10" s="34" customFormat="1" ht="49.5" customHeight="1">
      <c r="A31" s="72">
        <f t="shared" si="1"/>
        <v>26</v>
      </c>
      <c r="B31" s="50">
        <v>40492</v>
      </c>
      <c r="C31" s="51" t="s">
        <v>128</v>
      </c>
      <c r="D31" s="58" t="s">
        <v>43</v>
      </c>
      <c r="E31" s="51" t="s">
        <v>129</v>
      </c>
      <c r="F31" s="52">
        <f>10525396+161131</f>
        <v>10686527</v>
      </c>
      <c r="G31" s="52">
        <f>25000</f>
        <v>25000</v>
      </c>
      <c r="H31" s="52">
        <f t="shared" si="2"/>
        <v>10711527</v>
      </c>
      <c r="I31" s="53">
        <f>167+9</f>
        <v>176</v>
      </c>
      <c r="J31" s="52">
        <f>6762+164</f>
        <v>6926</v>
      </c>
    </row>
    <row r="32" spans="1:10" s="34" customFormat="1" ht="49.5" customHeight="1">
      <c r="A32" s="72">
        <f t="shared" si="1"/>
        <v>27</v>
      </c>
      <c r="B32" s="50">
        <v>40504</v>
      </c>
      <c r="C32" s="51" t="s">
        <v>136</v>
      </c>
      <c r="D32" s="58" t="s">
        <v>43</v>
      </c>
      <c r="E32" s="51" t="s">
        <v>137</v>
      </c>
      <c r="F32" s="52">
        <v>289711</v>
      </c>
      <c r="G32" s="52">
        <v>0</v>
      </c>
      <c r="H32" s="52">
        <f t="shared" si="2"/>
        <v>289711</v>
      </c>
      <c r="I32" s="53">
        <v>27</v>
      </c>
      <c r="J32" s="52">
        <v>324</v>
      </c>
    </row>
    <row r="33" spans="1:10" s="34" customFormat="1" ht="49.5" customHeight="1">
      <c r="A33" s="72">
        <f t="shared" si="1"/>
        <v>28</v>
      </c>
      <c r="B33" s="50">
        <v>40514</v>
      </c>
      <c r="C33" s="51" t="s">
        <v>147</v>
      </c>
      <c r="D33" s="58" t="s">
        <v>43</v>
      </c>
      <c r="E33" s="51" t="s">
        <v>32</v>
      </c>
      <c r="F33" s="52">
        <v>7235093</v>
      </c>
      <c r="G33" s="52">
        <v>0</v>
      </c>
      <c r="H33" s="52">
        <f t="shared" si="2"/>
        <v>7235093</v>
      </c>
      <c r="I33" s="53">
        <v>231</v>
      </c>
      <c r="J33" s="52">
        <v>5122</v>
      </c>
    </row>
    <row r="34" spans="1:10" s="34" customFormat="1" ht="49.5" customHeight="1">
      <c r="A34" s="72">
        <f t="shared" si="1"/>
        <v>29</v>
      </c>
      <c r="B34" s="76">
        <v>40442</v>
      </c>
      <c r="C34" s="77" t="s">
        <v>66</v>
      </c>
      <c r="D34" s="78" t="s">
        <v>67</v>
      </c>
      <c r="E34" s="77" t="s">
        <v>68</v>
      </c>
      <c r="F34" s="79">
        <v>143500143</v>
      </c>
      <c r="G34" s="79">
        <v>0</v>
      </c>
      <c r="H34" s="79">
        <f t="shared" si="2"/>
        <v>143500143</v>
      </c>
      <c r="I34" s="80">
        <v>9431</v>
      </c>
      <c r="J34" s="79">
        <v>73389.19</v>
      </c>
    </row>
    <row r="35" spans="1:10" s="34" customFormat="1" ht="49.5" customHeight="1">
      <c r="A35" s="72">
        <f t="shared" si="1"/>
        <v>30</v>
      </c>
      <c r="B35" s="76">
        <v>40504</v>
      </c>
      <c r="C35" s="77" t="s">
        <v>138</v>
      </c>
      <c r="D35" s="78" t="s">
        <v>67</v>
      </c>
      <c r="E35" s="77" t="s">
        <v>15</v>
      </c>
      <c r="F35" s="79">
        <f>271140</f>
        <v>271140</v>
      </c>
      <c r="G35" s="79">
        <v>212720</v>
      </c>
      <c r="H35" s="79">
        <f t="shared" si="2"/>
        <v>483860</v>
      </c>
      <c r="I35" s="80">
        <f>39+37</f>
        <v>76</v>
      </c>
      <c r="J35" s="79">
        <f>252.81</f>
        <v>252.81</v>
      </c>
    </row>
    <row r="36" spans="1:10" s="34" customFormat="1" ht="49.5" customHeight="1">
      <c r="A36" s="72">
        <f t="shared" si="1"/>
        <v>31</v>
      </c>
      <c r="B36" s="108">
        <v>40504</v>
      </c>
      <c r="C36" s="109" t="s">
        <v>170</v>
      </c>
      <c r="D36" s="110" t="s">
        <v>158</v>
      </c>
      <c r="E36" s="109" t="s">
        <v>159</v>
      </c>
      <c r="F36" s="111">
        <f>324827253.94+1002138.56</f>
        <v>325829392.5</v>
      </c>
      <c r="G36" s="111">
        <v>21995810.56</v>
      </c>
      <c r="H36" s="111">
        <f>F36+G36</f>
        <v>347825203.06</v>
      </c>
      <c r="I36" s="112">
        <v>14995</v>
      </c>
      <c r="J36" s="111">
        <v>62267.67</v>
      </c>
    </row>
    <row r="37" spans="1:10" ht="49.5" customHeight="1">
      <c r="A37" s="72">
        <f t="shared" si="1"/>
        <v>32</v>
      </c>
      <c r="B37" s="16" t="s">
        <v>21</v>
      </c>
      <c r="C37" s="28" t="s">
        <v>18</v>
      </c>
      <c r="D37" s="59" t="s">
        <v>19</v>
      </c>
      <c r="E37" s="28" t="s">
        <v>20</v>
      </c>
      <c r="F37" s="33">
        <v>19077616.29</v>
      </c>
      <c r="G37" s="33">
        <v>112652</v>
      </c>
      <c r="H37" s="33">
        <f>F37+G37</f>
        <v>19190268.29</v>
      </c>
      <c r="I37" s="32">
        <v>1563</v>
      </c>
      <c r="J37" s="45">
        <v>7383.66</v>
      </c>
    </row>
    <row r="38" spans="1:10" ht="49.5" customHeight="1">
      <c r="A38" s="72">
        <f t="shared" si="1"/>
        <v>33</v>
      </c>
      <c r="B38" s="16" t="s">
        <v>36</v>
      </c>
      <c r="C38" s="44" t="s">
        <v>37</v>
      </c>
      <c r="D38" s="59" t="s">
        <v>19</v>
      </c>
      <c r="E38" s="44" t="s">
        <v>38</v>
      </c>
      <c r="F38" s="33">
        <v>30926774.16</v>
      </c>
      <c r="G38" s="33">
        <v>145000</v>
      </c>
      <c r="H38" s="33">
        <f aca="true" t="shared" si="3" ref="H38:H55">F38+G38</f>
        <v>31071774.16</v>
      </c>
      <c r="I38" s="32">
        <v>2638</v>
      </c>
      <c r="J38" s="45">
        <v>14485.16</v>
      </c>
    </row>
    <row r="39" spans="1:10" ht="49.5" customHeight="1">
      <c r="A39" s="72">
        <f t="shared" si="1"/>
        <v>34</v>
      </c>
      <c r="B39" s="16">
        <v>40421</v>
      </c>
      <c r="C39" s="44" t="s">
        <v>45</v>
      </c>
      <c r="D39" s="59" t="s">
        <v>19</v>
      </c>
      <c r="E39" s="44" t="s">
        <v>46</v>
      </c>
      <c r="F39" s="33">
        <f>40660451.1+51275</f>
        <v>40711726.1</v>
      </c>
      <c r="G39" s="33">
        <v>3688099</v>
      </c>
      <c r="H39" s="33">
        <f t="shared" si="3"/>
        <v>44399825.1</v>
      </c>
      <c r="I39" s="32">
        <v>1737</v>
      </c>
      <c r="J39" s="45">
        <v>10125.8</v>
      </c>
    </row>
    <row r="40" spans="1:10" ht="49.5" customHeight="1">
      <c r="A40" s="72">
        <f t="shared" si="1"/>
        <v>35</v>
      </c>
      <c r="B40" s="16" t="s">
        <v>55</v>
      </c>
      <c r="C40" s="44" t="s">
        <v>56</v>
      </c>
      <c r="D40" s="59" t="s">
        <v>19</v>
      </c>
      <c r="E40" s="44" t="s">
        <v>46</v>
      </c>
      <c r="F40" s="33">
        <f>15214623.44+2758251.75</f>
        <v>17972875.189999998</v>
      </c>
      <c r="G40" s="33">
        <v>0</v>
      </c>
      <c r="H40" s="33">
        <f t="shared" si="3"/>
        <v>17972875.189999998</v>
      </c>
      <c r="I40" s="32">
        <v>834</v>
      </c>
      <c r="J40" s="45">
        <f>4968.52-2.14</f>
        <v>4966.38</v>
      </c>
    </row>
    <row r="41" spans="1:10" ht="49.5" customHeight="1">
      <c r="A41" s="72">
        <f t="shared" si="1"/>
        <v>36</v>
      </c>
      <c r="B41" s="16">
        <v>40451</v>
      </c>
      <c r="C41" s="44" t="s">
        <v>77</v>
      </c>
      <c r="D41" s="59" t="s">
        <v>19</v>
      </c>
      <c r="E41" s="44" t="s">
        <v>78</v>
      </c>
      <c r="F41" s="33">
        <f>20087272.56+134752.9</f>
        <v>20222025.459999997</v>
      </c>
      <c r="G41" s="33">
        <v>513253.86</v>
      </c>
      <c r="H41" s="33">
        <f t="shared" si="3"/>
        <v>20735279.319999997</v>
      </c>
      <c r="I41" s="32">
        <v>1175</v>
      </c>
      <c r="J41" s="45">
        <v>7635.24</v>
      </c>
    </row>
    <row r="42" spans="1:10" ht="49.5" customHeight="1">
      <c r="A42" s="72">
        <f t="shared" si="1"/>
        <v>37</v>
      </c>
      <c r="B42" s="16">
        <v>40463</v>
      </c>
      <c r="C42" s="44" t="s">
        <v>96</v>
      </c>
      <c r="D42" s="59" t="s">
        <v>19</v>
      </c>
      <c r="E42" s="44" t="s">
        <v>169</v>
      </c>
      <c r="F42" s="33">
        <f>11466175.85</f>
        <v>11466175.85</v>
      </c>
      <c r="G42" s="33">
        <v>0</v>
      </c>
      <c r="H42" s="33">
        <f t="shared" si="3"/>
        <v>11466175.85</v>
      </c>
      <c r="I42" s="32">
        <v>580</v>
      </c>
      <c r="J42" s="45">
        <v>5656.47</v>
      </c>
    </row>
    <row r="43" spans="1:10" ht="49.5" customHeight="1">
      <c r="A43" s="72">
        <f t="shared" si="1"/>
        <v>38</v>
      </c>
      <c r="B43" s="16">
        <v>40490</v>
      </c>
      <c r="C43" s="44" t="s">
        <v>123</v>
      </c>
      <c r="D43" s="59" t="s">
        <v>19</v>
      </c>
      <c r="E43" s="44" t="s">
        <v>46</v>
      </c>
      <c r="F43" s="33">
        <f>1479967+462281</f>
        <v>1942248</v>
      </c>
      <c r="G43" s="33">
        <f>11393000.8</f>
        <v>11393000.8</v>
      </c>
      <c r="H43" s="33">
        <f t="shared" si="3"/>
        <v>13335248.8</v>
      </c>
      <c r="I43" s="32">
        <f>75+16</f>
        <v>91</v>
      </c>
      <c r="J43" s="45">
        <f>185.92+30.34</f>
        <v>216.26</v>
      </c>
    </row>
    <row r="44" spans="1:10" ht="49.5" customHeight="1">
      <c r="A44" s="72">
        <f t="shared" si="1"/>
        <v>39</v>
      </c>
      <c r="B44" s="16">
        <v>40506</v>
      </c>
      <c r="C44" s="44" t="s">
        <v>139</v>
      </c>
      <c r="D44" s="59" t="s">
        <v>19</v>
      </c>
      <c r="E44" s="44" t="s">
        <v>48</v>
      </c>
      <c r="F44" s="33">
        <v>971149</v>
      </c>
      <c r="G44" s="33">
        <v>10407711</v>
      </c>
      <c r="H44" s="33">
        <f t="shared" si="3"/>
        <v>11378860</v>
      </c>
      <c r="I44" s="32">
        <v>59</v>
      </c>
      <c r="J44" s="45">
        <v>514.34</v>
      </c>
    </row>
    <row r="45" spans="1:10" ht="49.5" customHeight="1">
      <c r="A45" s="72">
        <f t="shared" si="1"/>
        <v>40</v>
      </c>
      <c r="B45" s="16">
        <v>40541</v>
      </c>
      <c r="C45" s="44" t="s">
        <v>165</v>
      </c>
      <c r="D45" s="59" t="s">
        <v>19</v>
      </c>
      <c r="E45" s="44" t="s">
        <v>48</v>
      </c>
      <c r="F45" s="33">
        <v>1489215.59</v>
      </c>
      <c r="G45" s="33">
        <v>10103424.4</v>
      </c>
      <c r="H45" s="33">
        <f t="shared" si="3"/>
        <v>11592639.99</v>
      </c>
      <c r="I45" s="32">
        <v>135</v>
      </c>
      <c r="J45" s="45">
        <v>541.19</v>
      </c>
    </row>
    <row r="46" spans="1:10" ht="49.5" customHeight="1">
      <c r="A46" s="72">
        <f t="shared" si="1"/>
        <v>41</v>
      </c>
      <c r="B46" s="102">
        <v>40449</v>
      </c>
      <c r="C46" s="103" t="s">
        <v>84</v>
      </c>
      <c r="D46" s="104" t="s">
        <v>85</v>
      </c>
      <c r="E46" s="103" t="s">
        <v>86</v>
      </c>
      <c r="F46" s="95">
        <v>29396051</v>
      </c>
      <c r="G46" s="95">
        <v>54850</v>
      </c>
      <c r="H46" s="95">
        <f t="shared" si="3"/>
        <v>29450901</v>
      </c>
      <c r="I46" s="96">
        <v>680</v>
      </c>
      <c r="J46" s="97">
        <v>18545.57</v>
      </c>
    </row>
    <row r="47" spans="1:10" ht="49.5" customHeight="1">
      <c r="A47" s="72">
        <f t="shared" si="1"/>
        <v>42</v>
      </c>
      <c r="B47" s="102">
        <v>40456</v>
      </c>
      <c r="C47" s="103" t="s">
        <v>95</v>
      </c>
      <c r="D47" s="104" t="s">
        <v>85</v>
      </c>
      <c r="E47" s="103" t="s">
        <v>86</v>
      </c>
      <c r="F47" s="95">
        <v>45434286.52</v>
      </c>
      <c r="G47" s="95">
        <v>3101179.64</v>
      </c>
      <c r="H47" s="95">
        <f t="shared" si="3"/>
        <v>48535466.160000004</v>
      </c>
      <c r="I47" s="96">
        <v>1370</v>
      </c>
      <c r="J47" s="97">
        <v>26108.64</v>
      </c>
    </row>
    <row r="48" spans="1:10" ht="49.5" customHeight="1">
      <c r="A48" s="72">
        <f t="shared" si="1"/>
        <v>43</v>
      </c>
      <c r="B48" s="102">
        <v>40463</v>
      </c>
      <c r="C48" s="103" t="s">
        <v>98</v>
      </c>
      <c r="D48" s="104" t="s">
        <v>85</v>
      </c>
      <c r="E48" s="103" t="s">
        <v>86</v>
      </c>
      <c r="F48" s="95">
        <v>37843259.14</v>
      </c>
      <c r="G48" s="95">
        <v>534057.99</v>
      </c>
      <c r="H48" s="95">
        <f t="shared" si="3"/>
        <v>38377317.13</v>
      </c>
      <c r="I48" s="96">
        <v>936</v>
      </c>
      <c r="J48" s="97">
        <v>27417.02</v>
      </c>
    </row>
    <row r="49" spans="1:10" ht="49.5" customHeight="1">
      <c r="A49" s="72">
        <f t="shared" si="1"/>
        <v>44</v>
      </c>
      <c r="B49" s="102">
        <v>40470</v>
      </c>
      <c r="C49" s="103" t="s">
        <v>107</v>
      </c>
      <c r="D49" s="104" t="s">
        <v>85</v>
      </c>
      <c r="E49" s="103" t="s">
        <v>86</v>
      </c>
      <c r="F49" s="95">
        <v>2981430.39</v>
      </c>
      <c r="G49" s="95">
        <v>0</v>
      </c>
      <c r="H49" s="95">
        <f t="shared" si="3"/>
        <v>2981430.39</v>
      </c>
      <c r="I49" s="96">
        <v>100</v>
      </c>
      <c r="J49" s="97">
        <v>2058.38</v>
      </c>
    </row>
    <row r="50" spans="1:10" ht="49.5" customHeight="1">
      <c r="A50" s="72">
        <f t="shared" si="1"/>
        <v>45</v>
      </c>
      <c r="B50" s="102">
        <v>40479</v>
      </c>
      <c r="C50" s="103" t="s">
        <v>119</v>
      </c>
      <c r="D50" s="104" t="s">
        <v>85</v>
      </c>
      <c r="E50" s="103" t="s">
        <v>120</v>
      </c>
      <c r="F50" s="95">
        <f>42326.51</f>
        <v>42326.51</v>
      </c>
      <c r="G50" s="95">
        <v>0</v>
      </c>
      <c r="H50" s="95">
        <f t="shared" si="3"/>
        <v>42326.51</v>
      </c>
      <c r="I50" s="96">
        <v>9</v>
      </c>
      <c r="J50" s="97">
        <v>23.11</v>
      </c>
    </row>
    <row r="51" spans="1:10" ht="49.5" customHeight="1">
      <c r="A51" s="72">
        <f t="shared" si="1"/>
        <v>46</v>
      </c>
      <c r="B51" s="102">
        <v>40534</v>
      </c>
      <c r="C51" s="103" t="s">
        <v>163</v>
      </c>
      <c r="D51" s="104" t="s">
        <v>85</v>
      </c>
      <c r="E51" s="103" t="s">
        <v>32</v>
      </c>
      <c r="F51" s="95">
        <v>1346290</v>
      </c>
      <c r="G51" s="95">
        <v>0</v>
      </c>
      <c r="H51" s="95">
        <f t="shared" si="3"/>
        <v>1346290</v>
      </c>
      <c r="I51" s="96">
        <v>33</v>
      </c>
      <c r="J51" s="97">
        <v>909</v>
      </c>
    </row>
    <row r="52" spans="1:10" ht="49.5" customHeight="1">
      <c r="A52" s="72">
        <f t="shared" si="1"/>
        <v>47</v>
      </c>
      <c r="B52" s="81">
        <v>40441</v>
      </c>
      <c r="C52" s="82" t="s">
        <v>69</v>
      </c>
      <c r="D52" s="86" t="s">
        <v>70</v>
      </c>
      <c r="E52" s="82" t="s">
        <v>71</v>
      </c>
      <c r="F52" s="83">
        <v>105587433</v>
      </c>
      <c r="G52" s="83">
        <v>16246465</v>
      </c>
      <c r="H52" s="83">
        <f t="shared" si="3"/>
        <v>121833898</v>
      </c>
      <c r="I52" s="84">
        <v>21531</v>
      </c>
      <c r="J52" s="85">
        <v>63766.05</v>
      </c>
    </row>
    <row r="53" spans="1:10" ht="49.5" customHeight="1">
      <c r="A53" s="72">
        <f t="shared" si="1"/>
        <v>48</v>
      </c>
      <c r="B53" s="81">
        <v>40479</v>
      </c>
      <c r="C53" s="82" t="s">
        <v>121</v>
      </c>
      <c r="D53" s="86" t="s">
        <v>70</v>
      </c>
      <c r="E53" s="82" t="s">
        <v>122</v>
      </c>
      <c r="F53" s="83">
        <f>9986+195400+328025</f>
        <v>533411</v>
      </c>
      <c r="G53" s="83">
        <v>0</v>
      </c>
      <c r="H53" s="83">
        <f t="shared" si="3"/>
        <v>533411</v>
      </c>
      <c r="I53" s="84">
        <f>2+4+31</f>
        <v>37</v>
      </c>
      <c r="J53" s="85">
        <f>6.45+125+154.72</f>
        <v>286.16999999999996</v>
      </c>
    </row>
    <row r="54" spans="1:10" ht="49.5" customHeight="1">
      <c r="A54" s="72">
        <f t="shared" si="1"/>
        <v>49</v>
      </c>
      <c r="B54" s="81">
        <v>40521</v>
      </c>
      <c r="C54" s="82" t="s">
        <v>151</v>
      </c>
      <c r="D54" s="86" t="s">
        <v>70</v>
      </c>
      <c r="E54" s="82" t="s">
        <v>131</v>
      </c>
      <c r="F54" s="83">
        <f>71169+80352</f>
        <v>151521</v>
      </c>
      <c r="G54" s="83">
        <v>0</v>
      </c>
      <c r="H54" s="83">
        <f t="shared" si="3"/>
        <v>151521</v>
      </c>
      <c r="I54" s="84">
        <v>13</v>
      </c>
      <c r="J54" s="85">
        <f>33.48+11.47</f>
        <v>44.949999999999996</v>
      </c>
    </row>
    <row r="55" spans="1:10" ht="49.5" customHeight="1">
      <c r="A55" s="72">
        <f t="shared" si="1"/>
        <v>50</v>
      </c>
      <c r="B55" s="81">
        <v>40534</v>
      </c>
      <c r="C55" s="82" t="s">
        <v>162</v>
      </c>
      <c r="D55" s="86" t="s">
        <v>70</v>
      </c>
      <c r="E55" s="82" t="s">
        <v>164</v>
      </c>
      <c r="F55" s="83">
        <v>105519</v>
      </c>
      <c r="G55" s="83">
        <f>23792+9146196</f>
        <v>9169988</v>
      </c>
      <c r="H55" s="83">
        <f t="shared" si="3"/>
        <v>9275507</v>
      </c>
      <c r="I55" s="84">
        <f>1+162</f>
        <v>163</v>
      </c>
      <c r="J55" s="85">
        <v>14.82</v>
      </c>
    </row>
    <row r="56" spans="1:10" ht="49.5" customHeight="1">
      <c r="A56" s="72">
        <f t="shared" si="1"/>
        <v>51</v>
      </c>
      <c r="B56" s="3" t="s">
        <v>13</v>
      </c>
      <c r="C56" s="4" t="s">
        <v>14</v>
      </c>
      <c r="D56" s="5" t="s">
        <v>11</v>
      </c>
      <c r="E56" s="6" t="s">
        <v>15</v>
      </c>
      <c r="F56" s="10">
        <v>20427.96</v>
      </c>
      <c r="G56" s="10">
        <f>1890949+6720+48860</f>
        <v>1946529</v>
      </c>
      <c r="H56" s="10">
        <f aca="true" t="shared" si="4" ref="H56:H84">F56+G56</f>
        <v>1966956.96</v>
      </c>
      <c r="I56" s="11">
        <v>77</v>
      </c>
      <c r="J56" s="12">
        <f>87.58+101.43</f>
        <v>189.01</v>
      </c>
    </row>
    <row r="57" spans="1:10" ht="49.5" customHeight="1">
      <c r="A57" s="72">
        <f t="shared" si="1"/>
        <v>52</v>
      </c>
      <c r="B57" s="3" t="s">
        <v>49</v>
      </c>
      <c r="C57" s="4" t="s">
        <v>50</v>
      </c>
      <c r="D57" s="5" t="s">
        <v>11</v>
      </c>
      <c r="E57" s="6" t="s">
        <v>44</v>
      </c>
      <c r="F57" s="10">
        <v>5074048.11</v>
      </c>
      <c r="G57" s="10">
        <v>0</v>
      </c>
      <c r="H57" s="10">
        <f t="shared" si="4"/>
        <v>5074048.11</v>
      </c>
      <c r="I57" s="11">
        <v>1663</v>
      </c>
      <c r="J57" s="12">
        <v>7609.09</v>
      </c>
    </row>
    <row r="58" spans="1:10" ht="49.5" customHeight="1">
      <c r="A58" s="72">
        <f t="shared" si="1"/>
        <v>53</v>
      </c>
      <c r="B58" s="3">
        <v>40449</v>
      </c>
      <c r="C58" s="4" t="s">
        <v>79</v>
      </c>
      <c r="D58" s="5" t="s">
        <v>11</v>
      </c>
      <c r="E58" s="6" t="s">
        <v>44</v>
      </c>
      <c r="F58" s="10">
        <v>50006154.4</v>
      </c>
      <c r="G58" s="10">
        <v>0</v>
      </c>
      <c r="H58" s="10">
        <f t="shared" si="4"/>
        <v>50006154.4</v>
      </c>
      <c r="I58" s="11">
        <v>2879</v>
      </c>
      <c r="J58" s="12">
        <v>20468.68</v>
      </c>
    </row>
    <row r="59" spans="1:10" ht="49.5" customHeight="1">
      <c r="A59" s="72">
        <f t="shared" si="1"/>
        <v>54</v>
      </c>
      <c r="B59" s="3">
        <v>40463</v>
      </c>
      <c r="C59" s="4" t="s">
        <v>93</v>
      </c>
      <c r="D59" s="5" t="s">
        <v>11</v>
      </c>
      <c r="E59" s="6" t="s">
        <v>94</v>
      </c>
      <c r="F59" s="10">
        <v>0</v>
      </c>
      <c r="G59" s="10">
        <v>802122.3</v>
      </c>
      <c r="H59" s="10">
        <f t="shared" si="4"/>
        <v>802122.3</v>
      </c>
      <c r="I59" s="11">
        <v>58</v>
      </c>
      <c r="J59" s="12">
        <v>0</v>
      </c>
    </row>
    <row r="60" spans="1:10" ht="49.5" customHeight="1">
      <c r="A60" s="72">
        <f t="shared" si="1"/>
        <v>55</v>
      </c>
      <c r="B60" s="3">
        <v>40478</v>
      </c>
      <c r="C60" s="4" t="s">
        <v>115</v>
      </c>
      <c r="D60" s="5" t="s">
        <v>11</v>
      </c>
      <c r="E60" s="6" t="s">
        <v>44</v>
      </c>
      <c r="F60" s="10">
        <v>419139.23</v>
      </c>
      <c r="G60" s="10">
        <v>0</v>
      </c>
      <c r="H60" s="10">
        <f t="shared" si="4"/>
        <v>419139.23</v>
      </c>
      <c r="I60" s="11">
        <v>62</v>
      </c>
      <c r="J60" s="12">
        <v>940.74</v>
      </c>
    </row>
    <row r="61" spans="1:10" ht="49.5" customHeight="1">
      <c r="A61" s="72">
        <f t="shared" si="1"/>
        <v>56</v>
      </c>
      <c r="B61" s="3">
        <v>40506</v>
      </c>
      <c r="C61" s="4" t="s">
        <v>140</v>
      </c>
      <c r="D61" s="5" t="s">
        <v>11</v>
      </c>
      <c r="E61" s="6" t="s">
        <v>141</v>
      </c>
      <c r="F61" s="10">
        <v>260949.97</v>
      </c>
      <c r="G61" s="10">
        <v>0</v>
      </c>
      <c r="H61" s="10">
        <f t="shared" si="4"/>
        <v>260949.97</v>
      </c>
      <c r="I61" s="11">
        <v>74</v>
      </c>
      <c r="J61" s="12">
        <v>1277.16</v>
      </c>
    </row>
    <row r="62" spans="1:10" ht="49.5" customHeight="1">
      <c r="A62" s="72">
        <f t="shared" si="1"/>
        <v>57</v>
      </c>
      <c r="B62" s="3">
        <v>40501</v>
      </c>
      <c r="C62" s="4" t="s">
        <v>145</v>
      </c>
      <c r="D62" s="5" t="s">
        <v>11</v>
      </c>
      <c r="E62" s="6" t="s">
        <v>146</v>
      </c>
      <c r="F62" s="10">
        <f>19918.67</f>
        <v>19918.67</v>
      </c>
      <c r="G62" s="10">
        <v>6676481.54</v>
      </c>
      <c r="H62" s="10">
        <f t="shared" si="4"/>
        <v>6696400.21</v>
      </c>
      <c r="I62" s="11">
        <v>151</v>
      </c>
      <c r="J62" s="12">
        <v>16.5</v>
      </c>
    </row>
    <row r="63" spans="1:10" ht="49.5" customHeight="1">
      <c r="A63" s="72">
        <f t="shared" si="1"/>
        <v>58</v>
      </c>
      <c r="B63" s="87">
        <v>40438</v>
      </c>
      <c r="C63" s="88" t="s">
        <v>72</v>
      </c>
      <c r="D63" s="89" t="s">
        <v>73</v>
      </c>
      <c r="E63" s="90" t="s">
        <v>74</v>
      </c>
      <c r="F63" s="91">
        <v>7686073.12</v>
      </c>
      <c r="G63" s="91">
        <v>1066573.64</v>
      </c>
      <c r="H63" s="91">
        <f t="shared" si="4"/>
        <v>8752646.76</v>
      </c>
      <c r="I63" s="92">
        <v>377</v>
      </c>
      <c r="J63" s="93">
        <v>3436</v>
      </c>
    </row>
    <row r="64" spans="1:10" ht="49.5" customHeight="1">
      <c r="A64" s="72">
        <f t="shared" si="1"/>
        <v>59</v>
      </c>
      <c r="B64" s="87">
        <v>40528</v>
      </c>
      <c r="C64" s="88" t="s">
        <v>154</v>
      </c>
      <c r="D64" s="89" t="s">
        <v>73</v>
      </c>
      <c r="E64" s="90" t="s">
        <v>68</v>
      </c>
      <c r="F64" s="91">
        <f>7508543.61+617571</f>
        <v>8126114.61</v>
      </c>
      <c r="G64" s="91">
        <f>551878</f>
        <v>551878</v>
      </c>
      <c r="H64" s="91">
        <f t="shared" si="4"/>
        <v>8677992.61</v>
      </c>
      <c r="I64" s="92">
        <f>138+7</f>
        <v>145</v>
      </c>
      <c r="J64" s="93">
        <f>2341.99+58.38</f>
        <v>2400.37</v>
      </c>
    </row>
    <row r="65" spans="1:10" ht="49.5" customHeight="1">
      <c r="A65" s="72">
        <f t="shared" si="1"/>
        <v>60</v>
      </c>
      <c r="B65" s="87">
        <v>40541</v>
      </c>
      <c r="C65" s="88" t="s">
        <v>167</v>
      </c>
      <c r="D65" s="89" t="s">
        <v>73</v>
      </c>
      <c r="E65" s="90" t="s">
        <v>32</v>
      </c>
      <c r="F65" s="91">
        <v>631831.79</v>
      </c>
      <c r="G65" s="91">
        <v>0</v>
      </c>
      <c r="H65" s="91">
        <f>F65+G65</f>
        <v>631831.79</v>
      </c>
      <c r="I65" s="92">
        <v>9</v>
      </c>
      <c r="J65" s="93">
        <v>63.16</v>
      </c>
    </row>
    <row r="66" spans="1:10" ht="49.5" customHeight="1">
      <c r="A66" s="72">
        <f t="shared" si="1"/>
        <v>61</v>
      </c>
      <c r="B66" s="65">
        <v>40436</v>
      </c>
      <c r="C66" s="66" t="s">
        <v>59</v>
      </c>
      <c r="D66" s="67" t="s">
        <v>60</v>
      </c>
      <c r="E66" s="68" t="s">
        <v>29</v>
      </c>
      <c r="F66" s="69">
        <v>36681168</v>
      </c>
      <c r="G66" s="69">
        <v>1353019</v>
      </c>
      <c r="H66" s="69">
        <f t="shared" si="4"/>
        <v>38034187</v>
      </c>
      <c r="I66" s="70">
        <v>2313</v>
      </c>
      <c r="J66" s="71">
        <v>21010.67</v>
      </c>
    </row>
    <row r="67" spans="1:10" ht="49.5" customHeight="1">
      <c r="A67" s="72">
        <f t="shared" si="1"/>
        <v>62</v>
      </c>
      <c r="B67" s="65">
        <v>40449</v>
      </c>
      <c r="C67" s="66" t="s">
        <v>83</v>
      </c>
      <c r="D67" s="67" t="s">
        <v>60</v>
      </c>
      <c r="E67" s="68" t="s">
        <v>29</v>
      </c>
      <c r="F67" s="69">
        <v>3469065</v>
      </c>
      <c r="G67" s="69">
        <v>0</v>
      </c>
      <c r="H67" s="69">
        <f t="shared" si="4"/>
        <v>3469065</v>
      </c>
      <c r="I67" s="70">
        <v>103</v>
      </c>
      <c r="J67" s="71">
        <v>1319.9</v>
      </c>
    </row>
    <row r="68" spans="1:10" ht="49.5" customHeight="1">
      <c r="A68" s="72">
        <f t="shared" si="1"/>
        <v>63</v>
      </c>
      <c r="B68" s="46" t="s">
        <v>55</v>
      </c>
      <c r="C68" s="61" t="s">
        <v>57</v>
      </c>
      <c r="D68" s="62" t="s">
        <v>58</v>
      </c>
      <c r="E68" s="63" t="s">
        <v>48</v>
      </c>
      <c r="F68" s="64">
        <v>178112650</v>
      </c>
      <c r="G68" s="64">
        <v>61586331</v>
      </c>
      <c r="H68" s="64">
        <f t="shared" si="4"/>
        <v>239698981</v>
      </c>
      <c r="I68" s="49">
        <v>12521</v>
      </c>
      <c r="J68" s="48">
        <v>46004</v>
      </c>
    </row>
    <row r="69" spans="1:10" ht="49.5" customHeight="1">
      <c r="A69" s="72">
        <f t="shared" si="1"/>
        <v>64</v>
      </c>
      <c r="B69" s="46">
        <v>40428</v>
      </c>
      <c r="C69" s="61" t="s">
        <v>99</v>
      </c>
      <c r="D69" s="62" t="s">
        <v>58</v>
      </c>
      <c r="E69" s="63" t="s">
        <v>100</v>
      </c>
      <c r="F69" s="64">
        <v>52418030</v>
      </c>
      <c r="G69" s="64">
        <v>913166</v>
      </c>
      <c r="H69" s="64">
        <f t="shared" si="4"/>
        <v>53331196</v>
      </c>
      <c r="I69" s="49">
        <v>2512</v>
      </c>
      <c r="J69" s="48">
        <v>9787.21</v>
      </c>
    </row>
    <row r="70" spans="1:10" ht="49.5" customHeight="1">
      <c r="A70" s="72">
        <f t="shared" si="1"/>
        <v>65</v>
      </c>
      <c r="B70" s="46">
        <v>40492</v>
      </c>
      <c r="C70" s="61" t="s">
        <v>124</v>
      </c>
      <c r="D70" s="62" t="s">
        <v>58</v>
      </c>
      <c r="E70" s="63" t="s">
        <v>125</v>
      </c>
      <c r="F70" s="64">
        <f>4275+84006</f>
        <v>88281</v>
      </c>
      <c r="G70" s="64">
        <v>32860</v>
      </c>
      <c r="H70" s="64">
        <f t="shared" si="4"/>
        <v>121141</v>
      </c>
      <c r="I70" s="49">
        <f>2+6</f>
        <v>8</v>
      </c>
      <c r="J70" s="48">
        <f>2.5+47.6</f>
        <v>50.1</v>
      </c>
    </row>
    <row r="71" spans="1:10" ht="49.5" customHeight="1">
      <c r="A71" s="72">
        <f t="shared" si="1"/>
        <v>66</v>
      </c>
      <c r="B71" s="46">
        <v>40492</v>
      </c>
      <c r="C71" s="61" t="s">
        <v>126</v>
      </c>
      <c r="D71" s="62" t="s">
        <v>58</v>
      </c>
      <c r="E71" s="63" t="s">
        <v>127</v>
      </c>
      <c r="F71" s="64">
        <f>840+467702</f>
        <v>468542</v>
      </c>
      <c r="G71" s="64">
        <v>0</v>
      </c>
      <c r="H71" s="64">
        <f t="shared" si="4"/>
        <v>468542</v>
      </c>
      <c r="I71" s="49">
        <f>1+10</f>
        <v>11</v>
      </c>
      <c r="J71" s="48">
        <f>11.19+28.59</f>
        <v>39.78</v>
      </c>
    </row>
    <row r="72" spans="1:10" ht="49.5" customHeight="1">
      <c r="A72" s="72">
        <f t="shared" si="1"/>
        <v>67</v>
      </c>
      <c r="B72" s="46">
        <v>40528</v>
      </c>
      <c r="C72" s="61" t="s">
        <v>157</v>
      </c>
      <c r="D72" s="62" t="s">
        <v>58</v>
      </c>
      <c r="E72" s="63" t="s">
        <v>86</v>
      </c>
      <c r="F72" s="64">
        <f>3875073+928133</f>
        <v>4803206</v>
      </c>
      <c r="G72" s="64">
        <f>1199915-63500-248450-28600-38975-42778-23703-1653-566178</f>
        <v>186078</v>
      </c>
      <c r="H72" s="64">
        <f t="shared" si="4"/>
        <v>4989284</v>
      </c>
      <c r="I72" s="49">
        <f>390+47</f>
        <v>437</v>
      </c>
      <c r="J72" s="48">
        <f>1166.69+76.918</f>
        <v>1243.6080000000002</v>
      </c>
    </row>
    <row r="73" spans="1:10" ht="49.5" customHeight="1">
      <c r="A73" s="72">
        <f t="shared" si="1"/>
        <v>68</v>
      </c>
      <c r="B73" s="46">
        <v>40534</v>
      </c>
      <c r="C73" s="61" t="s">
        <v>160</v>
      </c>
      <c r="D73" s="62" t="s">
        <v>58</v>
      </c>
      <c r="E73" s="63" t="s">
        <v>161</v>
      </c>
      <c r="F73" s="64">
        <v>501258</v>
      </c>
      <c r="G73" s="64">
        <f>154880-38100</f>
        <v>116780</v>
      </c>
      <c r="H73" s="64">
        <f t="shared" si="4"/>
        <v>618038</v>
      </c>
      <c r="I73" s="49">
        <v>20</v>
      </c>
      <c r="J73" s="48">
        <v>27.5</v>
      </c>
    </row>
    <row r="74" spans="1:10" s="29" customFormat="1" ht="49.5" customHeight="1">
      <c r="A74" s="72">
        <f t="shared" si="1"/>
        <v>69</v>
      </c>
      <c r="B74" s="7" t="s">
        <v>13</v>
      </c>
      <c r="C74" s="8" t="s">
        <v>16</v>
      </c>
      <c r="D74" s="9" t="s">
        <v>10</v>
      </c>
      <c r="E74" s="8" t="s">
        <v>17</v>
      </c>
      <c r="F74" s="13">
        <v>2398326.2</v>
      </c>
      <c r="G74" s="13">
        <v>0</v>
      </c>
      <c r="H74" s="13">
        <f t="shared" si="4"/>
        <v>2398326.2</v>
      </c>
      <c r="I74" s="14">
        <v>41</v>
      </c>
      <c r="J74" s="15">
        <v>2410.92</v>
      </c>
    </row>
    <row r="75" spans="1:10" s="29" customFormat="1" ht="49.5" customHeight="1">
      <c r="A75" s="72">
        <f t="shared" si="1"/>
        <v>70</v>
      </c>
      <c r="B75" s="7">
        <v>40442</v>
      </c>
      <c r="C75" s="8" t="s">
        <v>75</v>
      </c>
      <c r="D75" s="9" t="s">
        <v>10</v>
      </c>
      <c r="E75" s="8" t="s">
        <v>32</v>
      </c>
      <c r="F75" s="13">
        <v>621369.4</v>
      </c>
      <c r="G75" s="13">
        <v>0</v>
      </c>
      <c r="H75" s="13">
        <f t="shared" si="4"/>
        <v>621369.4</v>
      </c>
      <c r="I75" s="14">
        <v>21</v>
      </c>
      <c r="J75" s="15">
        <v>1009.36</v>
      </c>
    </row>
    <row r="76" spans="1:10" s="29" customFormat="1" ht="49.5" customHeight="1">
      <c r="A76" s="72">
        <f t="shared" si="1"/>
        <v>71</v>
      </c>
      <c r="B76" s="7">
        <v>40501</v>
      </c>
      <c r="C76" s="8" t="s">
        <v>142</v>
      </c>
      <c r="D76" s="9" t="s">
        <v>10</v>
      </c>
      <c r="E76" s="8" t="s">
        <v>143</v>
      </c>
      <c r="F76" s="13">
        <f>6088176.9+559947.4</f>
        <v>6648124.300000001</v>
      </c>
      <c r="G76" s="13">
        <v>0</v>
      </c>
      <c r="H76" s="13">
        <f t="shared" si="4"/>
        <v>6648124.300000001</v>
      </c>
      <c r="I76" s="14">
        <f>124+20</f>
        <v>144</v>
      </c>
      <c r="J76" s="15">
        <f>5897.8+515.25</f>
        <v>6413.05</v>
      </c>
    </row>
    <row r="77" spans="1:10" s="29" customFormat="1" ht="49.5" customHeight="1">
      <c r="A77" s="72">
        <f t="shared" si="1"/>
        <v>72</v>
      </c>
      <c r="B77" s="43" t="s">
        <v>21</v>
      </c>
      <c r="C77" s="37" t="s">
        <v>24</v>
      </c>
      <c r="D77" s="55" t="s">
        <v>25</v>
      </c>
      <c r="E77" s="37" t="s">
        <v>33</v>
      </c>
      <c r="F77" s="38">
        <v>787632.35</v>
      </c>
      <c r="G77" s="38">
        <v>0</v>
      </c>
      <c r="H77" s="38">
        <f t="shared" si="4"/>
        <v>787632.35</v>
      </c>
      <c r="I77" s="39">
        <v>276</v>
      </c>
      <c r="J77" s="40">
        <v>1071</v>
      </c>
    </row>
    <row r="78" spans="1:10" s="29" customFormat="1" ht="49.5" customHeight="1">
      <c r="A78" s="72">
        <f t="shared" si="1"/>
        <v>73</v>
      </c>
      <c r="B78" s="43">
        <v>40408</v>
      </c>
      <c r="C78" s="37" t="s">
        <v>30</v>
      </c>
      <c r="D78" s="55" t="s">
        <v>25</v>
      </c>
      <c r="E78" s="37" t="s">
        <v>33</v>
      </c>
      <c r="F78" s="38">
        <v>4051330</v>
      </c>
      <c r="G78" s="38">
        <v>0</v>
      </c>
      <c r="H78" s="38">
        <f t="shared" si="4"/>
        <v>4051330</v>
      </c>
      <c r="I78" s="39">
        <v>430</v>
      </c>
      <c r="J78" s="40">
        <v>2837.3</v>
      </c>
    </row>
    <row r="79" spans="1:10" s="29" customFormat="1" ht="49.5" customHeight="1">
      <c r="A79" s="72">
        <f aca="true" t="shared" si="5" ref="A79:A97">A78+1</f>
        <v>74</v>
      </c>
      <c r="B79" s="43">
        <v>40408</v>
      </c>
      <c r="C79" s="37" t="s">
        <v>31</v>
      </c>
      <c r="D79" s="55" t="s">
        <v>25</v>
      </c>
      <c r="E79" s="37" t="s">
        <v>32</v>
      </c>
      <c r="F79" s="38">
        <v>1576719</v>
      </c>
      <c r="G79" s="38">
        <v>0</v>
      </c>
      <c r="H79" s="38">
        <f t="shared" si="4"/>
        <v>1576719</v>
      </c>
      <c r="I79" s="39">
        <v>72</v>
      </c>
      <c r="J79" s="40">
        <v>466</v>
      </c>
    </row>
    <row r="80" spans="1:10" s="29" customFormat="1" ht="49.5" customHeight="1">
      <c r="A80" s="72">
        <f t="shared" si="5"/>
        <v>75</v>
      </c>
      <c r="B80" s="43">
        <v>40408</v>
      </c>
      <c r="C80" s="37" t="s">
        <v>34</v>
      </c>
      <c r="D80" s="55" t="s">
        <v>25</v>
      </c>
      <c r="E80" s="37" t="s">
        <v>32</v>
      </c>
      <c r="F80" s="38">
        <v>277548</v>
      </c>
      <c r="G80" s="38">
        <v>0</v>
      </c>
      <c r="H80" s="38">
        <f t="shared" si="4"/>
        <v>277548</v>
      </c>
      <c r="I80" s="39">
        <v>53</v>
      </c>
      <c r="J80" s="40">
        <v>469.46</v>
      </c>
    </row>
    <row r="81" spans="1:10" s="29" customFormat="1" ht="49.5" customHeight="1">
      <c r="A81" s="72">
        <f t="shared" si="5"/>
        <v>76</v>
      </c>
      <c r="B81" s="43">
        <v>40408</v>
      </c>
      <c r="C81" s="37" t="s">
        <v>35</v>
      </c>
      <c r="D81" s="55" t="s">
        <v>25</v>
      </c>
      <c r="E81" s="37" t="s">
        <v>33</v>
      </c>
      <c r="F81" s="38">
        <v>380880.85</v>
      </c>
      <c r="G81" s="38">
        <v>0</v>
      </c>
      <c r="H81" s="38">
        <f t="shared" si="4"/>
        <v>380880.85</v>
      </c>
      <c r="I81" s="39">
        <v>33</v>
      </c>
      <c r="J81" s="40">
        <v>389.64</v>
      </c>
    </row>
    <row r="82" spans="1:10" s="29" customFormat="1" ht="49.5" customHeight="1">
      <c r="A82" s="72">
        <f t="shared" si="5"/>
        <v>77</v>
      </c>
      <c r="B82" s="43">
        <v>40415</v>
      </c>
      <c r="C82" s="37" t="s">
        <v>41</v>
      </c>
      <c r="D82" s="55" t="s">
        <v>25</v>
      </c>
      <c r="E82" s="37" t="s">
        <v>33</v>
      </c>
      <c r="F82" s="38">
        <v>6806576</v>
      </c>
      <c r="G82" s="38">
        <v>0</v>
      </c>
      <c r="H82" s="38">
        <f t="shared" si="4"/>
        <v>6806576</v>
      </c>
      <c r="I82" s="39">
        <v>444</v>
      </c>
      <c r="J82" s="40">
        <v>6309.3</v>
      </c>
    </row>
    <row r="83" spans="1:10" s="29" customFormat="1" ht="49.5" customHeight="1">
      <c r="A83" s="72">
        <f t="shared" si="5"/>
        <v>78</v>
      </c>
      <c r="B83" s="43">
        <v>40421</v>
      </c>
      <c r="C83" s="37" t="s">
        <v>47</v>
      </c>
      <c r="D83" s="55" t="s">
        <v>25</v>
      </c>
      <c r="E83" s="37" t="s">
        <v>48</v>
      </c>
      <c r="F83" s="38">
        <v>40166</v>
      </c>
      <c r="G83" s="38">
        <v>0</v>
      </c>
      <c r="H83" s="38">
        <f t="shared" si="4"/>
        <v>40166</v>
      </c>
      <c r="I83" s="39">
        <v>13</v>
      </c>
      <c r="J83" s="40">
        <v>60.7</v>
      </c>
    </row>
    <row r="84" spans="1:10" s="29" customFormat="1" ht="49.5" customHeight="1">
      <c r="A84" s="72">
        <f t="shared" si="5"/>
        <v>79</v>
      </c>
      <c r="B84" s="54">
        <v>40421</v>
      </c>
      <c r="C84" s="37" t="s">
        <v>51</v>
      </c>
      <c r="D84" s="55" t="s">
        <v>25</v>
      </c>
      <c r="E84" s="60" t="s">
        <v>52</v>
      </c>
      <c r="F84" s="38">
        <f>4158509+1800000+473381+194420+4269971+45043+74979+603803</f>
        <v>11620106</v>
      </c>
      <c r="G84" s="38">
        <v>0</v>
      </c>
      <c r="H84" s="38">
        <f t="shared" si="4"/>
        <v>11620106</v>
      </c>
      <c r="I84" s="39">
        <f>529+275+44+8+422+9+8+39</f>
        <v>1334</v>
      </c>
      <c r="J84" s="40">
        <f>2344.57+2570+546.7+80.5+3486+29.9+96.2+638.68</f>
        <v>9792.550000000001</v>
      </c>
    </row>
    <row r="85" spans="1:10" s="29" customFormat="1" ht="49.5" customHeight="1">
      <c r="A85" s="72">
        <f t="shared" si="5"/>
        <v>80</v>
      </c>
      <c r="B85" s="54">
        <v>40428</v>
      </c>
      <c r="C85" s="37" t="s">
        <v>53</v>
      </c>
      <c r="D85" s="55" t="s">
        <v>25</v>
      </c>
      <c r="E85" s="60" t="s">
        <v>54</v>
      </c>
      <c r="F85" s="38">
        <v>36726825</v>
      </c>
      <c r="G85" s="38">
        <v>10550</v>
      </c>
      <c r="H85" s="38">
        <f aca="true" t="shared" si="6" ref="H85:H97">F85+G85</f>
        <v>36737375</v>
      </c>
      <c r="I85" s="39">
        <v>4537</v>
      </c>
      <c r="J85" s="40">
        <v>39620.6</v>
      </c>
    </row>
    <row r="86" spans="1:10" s="29" customFormat="1" ht="49.5" customHeight="1">
      <c r="A86" s="72">
        <f t="shared" si="5"/>
        <v>81</v>
      </c>
      <c r="B86" s="54">
        <v>40456</v>
      </c>
      <c r="C86" s="37" t="s">
        <v>87</v>
      </c>
      <c r="D86" s="55" t="s">
        <v>25</v>
      </c>
      <c r="E86" s="60" t="s">
        <v>54</v>
      </c>
      <c r="F86" s="38">
        <v>55728598</v>
      </c>
      <c r="G86" s="38">
        <v>0</v>
      </c>
      <c r="H86" s="38">
        <f t="shared" si="6"/>
        <v>55728598</v>
      </c>
      <c r="I86" s="39">
        <v>5130</v>
      </c>
      <c r="J86" s="40">
        <v>52910.3</v>
      </c>
    </row>
    <row r="87" spans="1:10" s="29" customFormat="1" ht="49.5" customHeight="1">
      <c r="A87" s="72">
        <f t="shared" si="5"/>
        <v>82</v>
      </c>
      <c r="B87" s="54">
        <v>40463</v>
      </c>
      <c r="C87" s="37" t="s">
        <v>88</v>
      </c>
      <c r="D87" s="55" t="s">
        <v>25</v>
      </c>
      <c r="E87" s="60" t="s">
        <v>89</v>
      </c>
      <c r="F87" s="38">
        <v>0</v>
      </c>
      <c r="G87" s="38">
        <v>321100</v>
      </c>
      <c r="H87" s="38">
        <f t="shared" si="6"/>
        <v>321100</v>
      </c>
      <c r="I87" s="39">
        <v>1</v>
      </c>
      <c r="J87" s="40">
        <v>0</v>
      </c>
    </row>
    <row r="88" spans="1:10" s="29" customFormat="1" ht="49.5" customHeight="1">
      <c r="A88" s="72">
        <f t="shared" si="5"/>
        <v>83</v>
      </c>
      <c r="B88" s="54">
        <v>40463</v>
      </c>
      <c r="C88" s="37" t="s">
        <v>90</v>
      </c>
      <c r="D88" s="55" t="s">
        <v>25</v>
      </c>
      <c r="E88" s="60" t="s">
        <v>44</v>
      </c>
      <c r="F88" s="38">
        <v>27176598.02</v>
      </c>
      <c r="G88" s="38">
        <v>0</v>
      </c>
      <c r="H88" s="38">
        <f t="shared" si="6"/>
        <v>27176598.02</v>
      </c>
      <c r="I88" s="39">
        <v>2210</v>
      </c>
      <c r="J88" s="40">
        <v>21213.4</v>
      </c>
    </row>
    <row r="89" spans="1:10" s="29" customFormat="1" ht="49.5" customHeight="1">
      <c r="A89" s="72">
        <f t="shared" si="5"/>
        <v>84</v>
      </c>
      <c r="B89" s="54">
        <v>40463</v>
      </c>
      <c r="C89" s="37" t="s">
        <v>97</v>
      </c>
      <c r="D89" s="55" t="s">
        <v>25</v>
      </c>
      <c r="E89" s="60" t="s">
        <v>44</v>
      </c>
      <c r="F89" s="38">
        <f>236518+2103946+6500000+1387288+7566069+706948+1820905</f>
        <v>20321674</v>
      </c>
      <c r="G89" s="38">
        <v>0</v>
      </c>
      <c r="H89" s="38">
        <f t="shared" si="6"/>
        <v>20321674</v>
      </c>
      <c r="I89" s="39">
        <f>31+400+410+99+180+13+292</f>
        <v>1425</v>
      </c>
      <c r="J89" s="40">
        <f>280+2122.4+2984+575.4+2219+259.2+2233</f>
        <v>10673</v>
      </c>
    </row>
    <row r="90" spans="1:10" s="29" customFormat="1" ht="49.5" customHeight="1">
      <c r="A90" s="72">
        <f t="shared" si="5"/>
        <v>85</v>
      </c>
      <c r="B90" s="54">
        <v>40471</v>
      </c>
      <c r="C90" s="37" t="s">
        <v>108</v>
      </c>
      <c r="D90" s="55" t="s">
        <v>25</v>
      </c>
      <c r="E90" s="60" t="s">
        <v>109</v>
      </c>
      <c r="F90" s="38">
        <f>16154367+13464222+6354136+7019888.57+1821221+3526050</f>
        <v>48339884.57</v>
      </c>
      <c r="G90" s="38">
        <v>0</v>
      </c>
      <c r="H90" s="38">
        <f t="shared" si="6"/>
        <v>48339884.57</v>
      </c>
      <c r="I90" s="39">
        <f>1639+1461+685+354+273+325</f>
        <v>4737</v>
      </c>
      <c r="J90" s="40">
        <f>11495.63+13273.2+6165.1+6850.98+1094.5+3503.04</f>
        <v>42382.450000000004</v>
      </c>
    </row>
    <row r="91" spans="1:10" s="29" customFormat="1" ht="49.5" customHeight="1">
      <c r="A91" s="72">
        <f t="shared" si="5"/>
        <v>86</v>
      </c>
      <c r="B91" s="54">
        <v>40478</v>
      </c>
      <c r="C91" s="37" t="s">
        <v>116</v>
      </c>
      <c r="D91" s="55" t="s">
        <v>25</v>
      </c>
      <c r="E91" s="60" t="s">
        <v>86</v>
      </c>
      <c r="F91" s="38">
        <v>10924849</v>
      </c>
      <c r="G91" s="38">
        <v>0</v>
      </c>
      <c r="H91" s="38">
        <f t="shared" si="6"/>
        <v>10924849</v>
      </c>
      <c r="I91" s="39">
        <v>1078</v>
      </c>
      <c r="J91" s="40">
        <v>8778.3</v>
      </c>
    </row>
    <row r="92" spans="1:10" s="29" customFormat="1" ht="49.5" customHeight="1">
      <c r="A92" s="72">
        <f t="shared" si="5"/>
        <v>87</v>
      </c>
      <c r="B92" s="54">
        <v>40501</v>
      </c>
      <c r="C92" s="37" t="s">
        <v>144</v>
      </c>
      <c r="D92" s="55" t="s">
        <v>25</v>
      </c>
      <c r="E92" s="60" t="s">
        <v>92</v>
      </c>
      <c r="F92" s="38">
        <v>169216.57</v>
      </c>
      <c r="G92" s="38">
        <v>0</v>
      </c>
      <c r="H92" s="38">
        <f t="shared" si="6"/>
        <v>169216.57</v>
      </c>
      <c r="I92" s="39">
        <v>6</v>
      </c>
      <c r="J92" s="40">
        <v>44.7</v>
      </c>
    </row>
    <row r="93" spans="1:10" s="29" customFormat="1" ht="49.5" customHeight="1">
      <c r="A93" s="72">
        <f t="shared" si="5"/>
        <v>88</v>
      </c>
      <c r="B93" s="54">
        <v>40515</v>
      </c>
      <c r="C93" s="37" t="s">
        <v>148</v>
      </c>
      <c r="D93" s="55" t="s">
        <v>25</v>
      </c>
      <c r="E93" s="60" t="s">
        <v>86</v>
      </c>
      <c r="F93" s="38">
        <f>167200.49+628382</f>
        <v>795582.49</v>
      </c>
      <c r="G93" s="38">
        <v>0</v>
      </c>
      <c r="H93" s="38">
        <f>F93+G93</f>
        <v>795582.49</v>
      </c>
      <c r="I93" s="39">
        <f>11+26</f>
        <v>37</v>
      </c>
      <c r="J93" s="40">
        <f>127.21+439.2</f>
        <v>566.41</v>
      </c>
    </row>
    <row r="94" spans="1:10" s="29" customFormat="1" ht="49.5" customHeight="1">
      <c r="A94" s="72">
        <f t="shared" si="5"/>
        <v>89</v>
      </c>
      <c r="B94" s="54">
        <v>40528</v>
      </c>
      <c r="C94" s="37" t="s">
        <v>155</v>
      </c>
      <c r="D94" s="55" t="s">
        <v>25</v>
      </c>
      <c r="E94" s="60" t="s">
        <v>44</v>
      </c>
      <c r="F94" s="38">
        <f>155618.61</f>
        <v>155618.61</v>
      </c>
      <c r="G94" s="38">
        <v>0</v>
      </c>
      <c r="H94" s="38">
        <f>F94+G94</f>
        <v>155618.61</v>
      </c>
      <c r="I94" s="39">
        <v>5</v>
      </c>
      <c r="J94" s="40">
        <v>29.5</v>
      </c>
    </row>
    <row r="95" spans="1:10" s="29" customFormat="1" ht="49.5" customHeight="1">
      <c r="A95" s="72">
        <f t="shared" si="5"/>
        <v>90</v>
      </c>
      <c r="B95" s="54">
        <v>40541</v>
      </c>
      <c r="C95" s="37" t="s">
        <v>168</v>
      </c>
      <c r="D95" s="55" t="s">
        <v>25</v>
      </c>
      <c r="E95" s="60" t="s">
        <v>32</v>
      </c>
      <c r="F95" s="38">
        <v>825655.67</v>
      </c>
      <c r="G95" s="38">
        <v>0</v>
      </c>
      <c r="H95" s="38">
        <f>F95+G95</f>
        <v>825655.67</v>
      </c>
      <c r="I95" s="39">
        <v>18</v>
      </c>
      <c r="J95" s="40">
        <v>395.55</v>
      </c>
    </row>
    <row r="96" spans="1:10" s="29" customFormat="1" ht="49.5" customHeight="1">
      <c r="A96" s="72">
        <f t="shared" si="5"/>
        <v>91</v>
      </c>
      <c r="B96" s="98">
        <v>40451</v>
      </c>
      <c r="C96" s="99" t="s">
        <v>80</v>
      </c>
      <c r="D96" s="100" t="s">
        <v>81</v>
      </c>
      <c r="E96" s="101" t="s">
        <v>82</v>
      </c>
      <c r="F96" s="95">
        <v>20290655.77</v>
      </c>
      <c r="G96" s="95">
        <v>0</v>
      </c>
      <c r="H96" s="95">
        <f t="shared" si="6"/>
        <v>20290655.77</v>
      </c>
      <c r="I96" s="96">
        <v>389</v>
      </c>
      <c r="J96" s="97">
        <v>19889.26</v>
      </c>
    </row>
    <row r="97" spans="1:10" s="29" customFormat="1" ht="49.5" customHeight="1">
      <c r="A97" s="72">
        <f t="shared" si="5"/>
        <v>92</v>
      </c>
      <c r="B97" s="98">
        <v>40528</v>
      </c>
      <c r="C97" s="99" t="s">
        <v>156</v>
      </c>
      <c r="D97" s="100" t="s">
        <v>81</v>
      </c>
      <c r="E97" s="101" t="s">
        <v>106</v>
      </c>
      <c r="F97" s="95">
        <f>14769364.64+414362.58+636423.61</f>
        <v>15820150.83</v>
      </c>
      <c r="G97" s="95">
        <v>0</v>
      </c>
      <c r="H97" s="95">
        <f t="shared" si="6"/>
        <v>15820150.83</v>
      </c>
      <c r="I97" s="96">
        <f>444+4+8</f>
        <v>456</v>
      </c>
      <c r="J97" s="97">
        <f>20411.67+314.22+719.12</f>
        <v>21445.01</v>
      </c>
    </row>
    <row r="98" spans="1:11" ht="48.75" customHeight="1">
      <c r="A98" s="114" t="s">
        <v>9</v>
      </c>
      <c r="B98" s="115"/>
      <c r="C98" s="115"/>
      <c r="D98" s="115"/>
      <c r="E98" s="116"/>
      <c r="F98" s="94">
        <f>SUM(F6:F97)</f>
        <v>1938062912.8499997</v>
      </c>
      <c r="G98" s="94">
        <f>SUM(G6:G97)</f>
        <v>247993315.77999997</v>
      </c>
      <c r="H98" s="94">
        <f>SUM(H6:H97)</f>
        <v>2186056228.6299996</v>
      </c>
      <c r="I98" s="94">
        <f>SUM(I6:I97)</f>
        <v>121100</v>
      </c>
      <c r="J98" s="94">
        <f>SUM(J6:J97)</f>
        <v>926292.9880000002</v>
      </c>
      <c r="K98" s="30"/>
    </row>
    <row r="99" spans="6:10" ht="12.75">
      <c r="F99" s="31"/>
      <c r="G99" s="31"/>
      <c r="H99" s="31"/>
      <c r="I99" s="31"/>
      <c r="J99" s="31"/>
    </row>
    <row r="100" spans="6:10" ht="12.75" hidden="1">
      <c r="F100" s="31"/>
      <c r="G100" s="31"/>
      <c r="H100" s="31"/>
      <c r="I100" s="31"/>
      <c r="J100" s="31"/>
    </row>
    <row r="101" spans="6:10" ht="12.75" hidden="1">
      <c r="F101" s="31"/>
      <c r="G101" s="31"/>
      <c r="H101" s="31"/>
      <c r="I101" s="31"/>
      <c r="J101" s="31"/>
    </row>
    <row r="102" spans="6:10" ht="12.75">
      <c r="F102" s="31"/>
      <c r="G102" s="31"/>
      <c r="H102" s="31"/>
      <c r="I102" s="31"/>
      <c r="J102" s="31"/>
    </row>
    <row r="103" spans="6:10" ht="12.75">
      <c r="F103" s="31"/>
      <c r="G103" s="31"/>
      <c r="H103" s="31"/>
      <c r="I103" s="31"/>
      <c r="J103" s="31"/>
    </row>
    <row r="104" spans="6:10" ht="12.75">
      <c r="F104" s="31"/>
      <c r="G104" s="31"/>
      <c r="H104" s="31"/>
      <c r="I104" s="31"/>
      <c r="J104" s="31"/>
    </row>
    <row r="105" spans="6:10" ht="12.75">
      <c r="F105" s="31"/>
      <c r="G105" s="31"/>
      <c r="H105" s="31"/>
      <c r="I105" s="31"/>
      <c r="J105" s="31"/>
    </row>
  </sheetData>
  <sheetProtection/>
  <mergeCells count="3">
    <mergeCell ref="A4:J4"/>
    <mergeCell ref="A98:E98"/>
    <mergeCell ref="I3:J3"/>
  </mergeCells>
  <conditionalFormatting sqref="B3">
    <cfRule type="cellIs" priority="1" dxfId="1" operator="between" stopIfTrue="1">
      <formula>38353</formula>
      <formula>38503</formula>
    </cfRule>
    <cfRule type="cellIs" priority="2" dxfId="0" operator="between" stopIfTrue="1">
      <formula>38504</formula>
      <formula>38717</formula>
    </cfRule>
  </conditionalFormatting>
  <dataValidations count="1">
    <dataValidation type="date" allowBlank="1" showInputMessage="1" showErrorMessage="1" sqref="B3">
      <formula1>38353</formula1>
      <formula2>38717</formula2>
    </dataValidation>
  </dataValidations>
  <printOptions horizontalCentered="1"/>
  <pageMargins left="0" right="0" top="0" bottom="0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zszik</dc:creator>
  <cp:keywords/>
  <dc:description/>
  <cp:lastModifiedBy>ARiMR</cp:lastModifiedBy>
  <cp:lastPrinted>2010-11-16T10:29:13Z</cp:lastPrinted>
  <dcterms:created xsi:type="dcterms:W3CDTF">2008-01-16T09:48:44Z</dcterms:created>
  <dcterms:modified xsi:type="dcterms:W3CDTF">2011-03-04T10:37:53Z</dcterms:modified>
  <cp:category/>
  <cp:version/>
  <cp:contentType/>
  <cp:contentStatus/>
</cp:coreProperties>
</file>